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nelincoln.sharepoint.com/sites/UNL-GSAExecutiveCommittee-ExecutiveCommitteeGeneralDiscussions/Shared Documents/Executive Committee General Discussions/"/>
    </mc:Choice>
  </mc:AlternateContent>
  <xr:revisionPtr revIDLastSave="0" documentId="8_{E3D67BC7-2CEF-4F64-B7FA-F9342D16E73D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StipendData" sheetId="1" r:id="rId1"/>
    <sheet name="Plots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1" i="1"/>
  <c r="B21" i="1" s="1"/>
  <c r="B10" i="1"/>
  <c r="B20" i="1" s="1"/>
  <c r="B9" i="1"/>
  <c r="B19" i="1" s="1"/>
  <c r="E21" i="1"/>
  <c r="P10" i="1"/>
  <c r="P9" i="1"/>
  <c r="P13" i="1"/>
  <c r="P21" i="1" s="1"/>
  <c r="P27" i="1" s="1"/>
  <c r="O4" i="1"/>
  <c r="O3" i="1"/>
  <c r="O8" i="1"/>
  <c r="O11" i="1"/>
  <c r="N13" i="1"/>
  <c r="M12" i="1"/>
  <c r="L14" i="1"/>
  <c r="L12" i="1"/>
  <c r="L10" i="1"/>
  <c r="L9" i="1"/>
  <c r="K11" i="1"/>
  <c r="K8" i="1"/>
  <c r="J14" i="1"/>
  <c r="J13" i="1"/>
  <c r="J4" i="1"/>
  <c r="J3" i="1" s="1"/>
  <c r="I14" i="1"/>
  <c r="G13" i="1"/>
  <c r="G21" i="1" s="1"/>
  <c r="G10" i="1"/>
  <c r="G20" i="1" s="1"/>
  <c r="G26" i="1" s="1"/>
  <c r="G9" i="1"/>
  <c r="G19" i="1" s="1"/>
  <c r="G25" i="1" s="1"/>
  <c r="F14" i="1"/>
  <c r="F11" i="1"/>
  <c r="E10" i="1"/>
  <c r="E12" i="1"/>
  <c r="E9" i="1"/>
  <c r="H14" i="1"/>
  <c r="H2" i="1"/>
  <c r="H3" i="1" s="1"/>
  <c r="H21" i="1" s="1"/>
  <c r="H27" i="1" s="1"/>
  <c r="F13" i="1"/>
  <c r="F8" i="1"/>
  <c r="J11" i="1"/>
  <c r="J10" i="1"/>
  <c r="J9" i="1"/>
  <c r="C9" i="1"/>
  <c r="I3" i="1"/>
  <c r="I21" i="1" s="1"/>
  <c r="N11" i="1"/>
  <c r="N21" i="1" s="1"/>
  <c r="N27" i="1" s="1"/>
  <c r="N10" i="1"/>
  <c r="N20" i="1" s="1"/>
  <c r="N26" i="1" s="1"/>
  <c r="N9" i="1"/>
  <c r="C11" i="1"/>
  <c r="E14" i="1"/>
  <c r="L13" i="1"/>
  <c r="L21" i="1" s="1"/>
  <c r="E19" i="1"/>
  <c r="E25" i="1" s="1"/>
  <c r="I19" i="1"/>
  <c r="I25" i="1" s="1"/>
  <c r="L19" i="1"/>
  <c r="L25" i="1" s="1"/>
  <c r="L20" i="1"/>
  <c r="L26" i="1" s="1"/>
  <c r="C12" i="5" s="1"/>
  <c r="P20" i="1"/>
  <c r="P26" i="1" s="1"/>
  <c r="M13" i="1"/>
  <c r="M21" i="1" s="1"/>
  <c r="M27" i="1" s="1"/>
  <c r="M14" i="1"/>
  <c r="C14" i="1"/>
  <c r="C13" i="1"/>
  <c r="C21" i="1" s="1"/>
  <c r="C27" i="1" s="1"/>
  <c r="C10" i="1"/>
  <c r="C20" i="1" s="1"/>
  <c r="C26" i="1" s="1"/>
  <c r="D14" i="1"/>
  <c r="D13" i="1"/>
  <c r="D12" i="1"/>
  <c r="D11" i="1"/>
  <c r="D21" i="1" s="1"/>
  <c r="D27" i="1" s="1"/>
  <c r="I27" i="1"/>
  <c r="G27" i="1"/>
  <c r="C19" i="1"/>
  <c r="C25" i="1" s="1"/>
  <c r="B2" i="5" s="1"/>
  <c r="E27" i="1"/>
  <c r="L27" i="1"/>
  <c r="K3" i="1"/>
  <c r="J19" i="1"/>
  <c r="J25" i="1" s="1"/>
  <c r="J20" i="1"/>
  <c r="J26" i="1" s="1"/>
  <c r="D14" i="5" l="1"/>
  <c r="D5" i="5"/>
  <c r="D8" i="5"/>
  <c r="I20" i="1"/>
  <c r="I26" i="1" s="1"/>
  <c r="B25" i="1"/>
  <c r="B26" i="1"/>
  <c r="B27" i="1"/>
  <c r="C3" i="5"/>
  <c r="D4" i="5"/>
  <c r="C7" i="5"/>
  <c r="B3" i="5"/>
  <c r="D7" i="5"/>
  <c r="C2" i="5"/>
  <c r="D11" i="5"/>
  <c r="C6" i="5"/>
  <c r="B5" i="5"/>
  <c r="B12" i="5"/>
  <c r="D13" i="5"/>
  <c r="C5" i="5"/>
  <c r="B8" i="5"/>
  <c r="D2" i="5"/>
  <c r="B14" i="5"/>
  <c r="C8" i="5"/>
  <c r="D6" i="5"/>
  <c r="D12" i="5"/>
  <c r="E20" i="1"/>
  <c r="E26" i="1" s="1"/>
  <c r="P19" i="1"/>
  <c r="P25" i="1" s="1"/>
  <c r="N19" i="1"/>
  <c r="N25" i="1" s="1"/>
  <c r="K18" i="1"/>
  <c r="K21" i="1"/>
  <c r="K27" i="1" s="1"/>
  <c r="F12" i="1"/>
  <c r="F18" i="1" s="1"/>
  <c r="F21" i="1"/>
  <c r="F27" i="1" s="1"/>
  <c r="J21" i="1"/>
  <c r="J27" i="1" s="1"/>
  <c r="O21" i="1"/>
  <c r="O27" i="1" s="1"/>
  <c r="O18" i="1"/>
  <c r="D19" i="1"/>
  <c r="D25" i="1" s="1"/>
  <c r="D20" i="1"/>
  <c r="D26" i="1" s="1"/>
  <c r="M18" i="1"/>
  <c r="H19" i="1"/>
  <c r="H25" i="1" s="1"/>
  <c r="H20" i="1"/>
  <c r="H26" i="1" s="1"/>
  <c r="B34" i="1" l="1"/>
  <c r="B4" i="5"/>
  <c r="B13" i="5"/>
  <c r="M25" i="1"/>
  <c r="M26" i="1"/>
  <c r="B7" i="5"/>
  <c r="B6" i="5"/>
  <c r="D15" i="5"/>
  <c r="F26" i="1"/>
  <c r="F25" i="1"/>
  <c r="D10" i="5"/>
  <c r="C4" i="5"/>
  <c r="D3" i="5"/>
  <c r="K26" i="1"/>
  <c r="K25" i="1"/>
  <c r="O25" i="1"/>
  <c r="O26" i="1"/>
  <c r="C14" i="5"/>
  <c r="C13" i="5"/>
  <c r="D9" i="5"/>
  <c r="B32" i="1" l="1"/>
  <c r="B33" i="1"/>
  <c r="B11" i="5"/>
  <c r="B15" i="5"/>
  <c r="C15" i="5"/>
  <c r="C11" i="5"/>
  <c r="B10" i="5"/>
  <c r="C10" i="5"/>
  <c r="B9" i="5"/>
  <c r="C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Donesky</author>
    <author>Connor Gee</author>
  </authors>
  <commentList>
    <comment ref="A1" authorId="0" shapeId="0" xr:uid="{0EDC5EEF-1929-473E-B4B1-7E96D53E04BF}">
      <text>
        <r>
          <rPr>
            <sz val="11"/>
            <color theme="1"/>
            <rFont val="Calibri"/>
            <family val="2"/>
            <scheme val="minor"/>
          </rPr>
          <t>Andrew Donesky:
Notes</t>
        </r>
      </text>
    </comment>
    <comment ref="E3" authorId="0" shapeId="0" xr:uid="{D6DBBC9F-997C-4B90-BC5B-064A9AD18886}">
      <text>
        <r>
          <rPr>
            <sz val="11"/>
            <color theme="1"/>
            <rFont val="Calibri"/>
            <family val="2"/>
            <scheme val="minor"/>
          </rPr>
          <t>Andrew Donesky:
$18,000 before https://bloomingtonian.com/2022/08/02/indiana-university-increases-minimum-saa-stipend-to-22k-and-waives-grad-student-fees/</t>
        </r>
      </text>
    </comment>
    <comment ref="G3" authorId="0" shapeId="0" xr:uid="{8828DCE9-E20D-4014-91D8-D5D0EFEE294A}">
      <text>
        <r>
          <rPr>
            <sz val="11"/>
            <color theme="1"/>
            <rFont val="Calibri"/>
            <family val="2"/>
            <scheme val="minor"/>
          </rPr>
          <t>Andrew Donesky:
Full = 0.5FTE and Half = 0.25FTE.
https://academiccatalog.umd.edu/graduate/policies/policies-graduate-assistantships/</t>
        </r>
      </text>
    </comment>
    <comment ref="M3" authorId="0" shapeId="0" xr:uid="{BEF8AEC2-5527-4EAF-8EF2-0C1A03DE3BEA}">
      <text>
        <r>
          <rPr>
            <sz val="11"/>
            <color theme="1"/>
            <rFont val="Calibri"/>
            <family val="2"/>
            <scheme val="minor"/>
          </rPr>
          <t>Andrew Donesky:
Minimum value is Grade 12 for 2022-23 year</t>
        </r>
      </text>
    </comment>
    <comment ref="O3" authorId="0" shapeId="0" xr:uid="{AF2F1099-B560-447E-9868-0EE6F0EE34BA}">
      <text>
        <r>
          <rPr>
            <sz val="11"/>
            <color theme="1"/>
            <rFont val="Calibri"/>
            <family val="2"/>
            <scheme val="minor"/>
          </rPr>
          <t>Andrew Donesky:
Graduate students are expected to work 15hr/week per union contract. https://rutgersaaup.org/graduate-students/</t>
        </r>
      </text>
    </comment>
    <comment ref="P3" authorId="0" shapeId="0" xr:uid="{DED3D305-7722-4971-9EEF-DAB18C881EFD}">
      <text>
        <r>
          <rPr>
            <sz val="11"/>
            <color theme="1"/>
            <rFont val="Calibri"/>
            <family val="2"/>
            <scheme val="minor"/>
          </rPr>
          <t>Andrew Donesky:
Follow link: RAs, TAs, Lecturers, and Projects all have various rates!</t>
        </r>
      </text>
    </comment>
    <comment ref="K8" authorId="1" shapeId="0" xr:uid="{1C487277-671C-46E3-93C5-6A9AF001BE12}">
      <text>
        <r>
          <rPr>
            <sz val="11"/>
            <color theme="1"/>
            <rFont val="Calibri"/>
            <family val="2"/>
            <scheme val="minor"/>
          </rPr>
          <t xml:space="preserve">Connor Gee:
Master's degree tuition comes to $20,721/quarter with a yearly amount at $62,163.
</t>
        </r>
      </text>
    </comment>
    <comment ref="J11" authorId="0" shapeId="0" xr:uid="{32B067FF-A401-45FF-BDB9-6CC8FD29C42F}">
      <text>
        <r>
          <rPr>
            <sz val="11"/>
            <color theme="1"/>
            <rFont val="Calibri"/>
            <family val="2"/>
            <scheme val="minor"/>
          </rPr>
          <t>Andrew Donesky:
Estimated from tuition and fees by subtracting tuition</t>
        </r>
      </text>
    </comment>
    <comment ref="K11" authorId="1" shapeId="0" xr:uid="{D56A8A78-98AD-4E4C-AE66-01E32AB56CB4}">
      <text>
        <r>
          <rPr>
            <sz val="11"/>
            <color theme="1"/>
            <rFont val="Calibri"/>
            <family val="2"/>
            <scheme val="minor"/>
          </rPr>
          <t>Connor Gee:
Added a health fee of $260/quarter.</t>
        </r>
      </text>
    </comment>
    <comment ref="E12" authorId="0" shapeId="0" xr:uid="{9E95F67A-7040-4400-AC39-5F8D9F3BE56A}">
      <text>
        <r>
          <rPr>
            <sz val="11"/>
            <color theme="1"/>
            <rFont val="Calibri"/>
            <family val="2"/>
            <scheme val="minor"/>
          </rPr>
          <t>Andrew Donesky:
Also covering course related fees! Recent change https://bloomingtonian.com/2022/08/02/indiana-university-increases-minimum-saa-stipend-to-22k-and-waives-grad-student-fees/</t>
        </r>
      </text>
    </comment>
    <comment ref="N12" authorId="0" shapeId="0" xr:uid="{E0A7C648-F7AC-4C28-8E8D-A267CE2B0E53}">
      <text>
        <r>
          <rPr>
            <b/>
            <sz val="9"/>
            <color indexed="81"/>
            <rFont val="Tahoma"/>
            <family val="2"/>
          </rPr>
          <t>Andrew Donesky:</t>
        </r>
        <r>
          <rPr>
            <sz val="9"/>
            <color indexed="81"/>
            <rFont val="Tahoma"/>
            <family val="2"/>
          </rPr>
          <t xml:space="preserve">
Is avalible, but assuming none</t>
        </r>
      </text>
    </comment>
    <comment ref="O13" authorId="0" shapeId="0" xr:uid="{22B44336-4738-446B-BF4F-5170AF9ACD6D}">
      <text>
        <r>
          <rPr>
            <sz val="11"/>
            <color theme="1"/>
            <rFont val="Calibri"/>
            <family val="2"/>
            <scheme val="minor"/>
          </rPr>
          <t>Andrew Donesky:
https://rutgersaaup.org/graduate-students/</t>
        </r>
      </text>
    </comment>
    <comment ref="P13" authorId="0" shapeId="0" xr:uid="{E41F5FD5-9A06-4F5E-8D12-3CA11FD1DE2D}">
      <text>
        <r>
          <rPr>
            <sz val="11"/>
            <color theme="1"/>
            <rFont val="Calibri"/>
            <family val="2"/>
            <scheme val="minor"/>
          </rPr>
          <t>Andrew Donesky:
Chose the higher tier to be comparable with UNL's platinum plan. Lower tier available as well</t>
        </r>
      </text>
    </comment>
    <comment ref="E14" authorId="0" shapeId="0" xr:uid="{49C41CCA-29A7-450A-8656-440C3147CE05}">
      <text>
        <r>
          <rPr>
            <sz val="11"/>
            <color theme="1"/>
            <rFont val="Calibri"/>
            <family val="2"/>
            <scheme val="minor"/>
          </rPr>
          <t>Andrew Donesky:
Website only has 2022 at the moment.</t>
        </r>
      </text>
    </comment>
    <comment ref="G14" authorId="0" shapeId="0" xr:uid="{CDDD3092-46DE-4EA1-B721-2534B0BB8FC7}">
      <text>
        <r>
          <rPr>
            <b/>
            <sz val="9"/>
            <color indexed="81"/>
            <rFont val="Tahoma"/>
            <family val="2"/>
          </rPr>
          <t>Andrew Donesky:</t>
        </r>
        <r>
          <rPr>
            <sz val="9"/>
            <color indexed="81"/>
            <rFont val="Tahoma"/>
            <family val="2"/>
          </rPr>
          <t xml:space="preserve">
Not found</t>
        </r>
      </text>
    </comment>
    <comment ref="I14" authorId="0" shapeId="0" xr:uid="{0A7AA1EB-5C07-4684-A2B4-5629AFCF1FF4}">
      <text>
        <r>
          <rPr>
            <b/>
            <sz val="9"/>
            <color indexed="81"/>
            <rFont val="Tahoma"/>
            <family val="2"/>
          </rPr>
          <t>Andrew Donesky:</t>
        </r>
        <r>
          <rPr>
            <sz val="9"/>
            <color indexed="81"/>
            <rFont val="Tahoma"/>
            <family val="2"/>
          </rPr>
          <t xml:space="preserve">
Estimated from dependents</t>
        </r>
      </text>
    </comment>
    <comment ref="M14" authorId="0" shapeId="0" xr:uid="{E9EAAB13-429F-4A92-A33A-1FC93BF93EB2}">
      <text>
        <r>
          <rPr>
            <sz val="11"/>
            <color theme="1"/>
            <rFont val="Calibri"/>
            <family val="2"/>
            <scheme val="minor"/>
          </rPr>
          <t>Andrew Donesky:
This does not include vision, but vision is offered and subsidized at 80% like health and dental.</t>
        </r>
      </text>
    </comment>
  </commentList>
</comments>
</file>

<file path=xl/sharedStrings.xml><?xml version="1.0" encoding="utf-8"?>
<sst xmlns="http://schemas.openxmlformats.org/spreadsheetml/2006/main" count="64" uniqueCount="48">
  <si>
    <t>(Cells with red triangle have notes)</t>
  </si>
  <si>
    <t>UNL (Use 2 semester equivalent)</t>
  </si>
  <si>
    <t>UNL</t>
  </si>
  <si>
    <t>Illinois, Urbana</t>
  </si>
  <si>
    <t>IU, Bloomington</t>
  </si>
  <si>
    <t>U of Iowa</t>
  </si>
  <si>
    <t>U of Maryland</t>
  </si>
  <si>
    <t>U of Michigan</t>
  </si>
  <si>
    <t>Michigan State</t>
  </si>
  <si>
    <t>Minnesota</t>
  </si>
  <si>
    <t>Northwestern</t>
  </si>
  <si>
    <t>The Ohio State</t>
  </si>
  <si>
    <t>Penn State</t>
  </si>
  <si>
    <t>Purdue</t>
  </si>
  <si>
    <t>Rutgers</t>
  </si>
  <si>
    <t>U of Wisconsin</t>
  </si>
  <si>
    <t>1 semester</t>
  </si>
  <si>
    <t>2 semesters</t>
  </si>
  <si>
    <t>12 months</t>
  </si>
  <si>
    <t>at 0.49 to 0.5 FTE (19.6 to 20 hr/week)</t>
  </si>
  <si>
    <t xml:space="preserve"> </t>
  </si>
  <si>
    <t>one tuition model</t>
  </si>
  <si>
    <t>resident tution remission</t>
  </si>
  <si>
    <t>non-resident tuition remission</t>
  </si>
  <si>
    <t>fees paid by student (academic year)</t>
  </si>
  <si>
    <t>fees covered by school (academic year)</t>
  </si>
  <si>
    <t>insurance paid by student</t>
  </si>
  <si>
    <t>insurance covered by school</t>
  </si>
  <si>
    <t>(insurance is for 12 months)</t>
  </si>
  <si>
    <t>(Below numbers assume a 2 semester assistantship)</t>
  </si>
  <si>
    <t>Total Compensation one tuition</t>
  </si>
  <si>
    <t>Total Compensation Resident</t>
  </si>
  <si>
    <t>Total Compensation Non-Resident</t>
  </si>
  <si>
    <t>Total Cash in Pocket</t>
  </si>
  <si>
    <t>MIT living wage</t>
  </si>
  <si>
    <t>Normalized Yearly Compensation Resident</t>
  </si>
  <si>
    <t>Normalized Yearly Compensation Non-Resident</t>
  </si>
  <si>
    <t>Normalized Total Yearly Cash in Pocket</t>
  </si>
  <si>
    <t>(all before tax!)</t>
  </si>
  <si>
    <t>Excluding UNL, normalized for Lincoln cost of living:</t>
  </si>
  <si>
    <t>BIG10 Average Compensation Resident</t>
  </si>
  <si>
    <t>BIG10 Average Compensation Non-Resident</t>
  </si>
  <si>
    <t>BIG10 Average Yearly Cash</t>
  </si>
  <si>
    <t>If you find an error, please let us know so we can correct it. Thanks! gsa@unl.edu</t>
  </si>
  <si>
    <t>University</t>
  </si>
  <si>
    <t>Normalized Total Compensation Resident</t>
  </si>
  <si>
    <t>Normalized Total Compensation Non-Resident</t>
  </si>
  <si>
    <t>Normalized Cash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</si>
</sst>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7">
    <font>
      <sz val="11"/>
      <color theme="1"/>
      <name val="Calibri"/>
      <family val="2"/>
      <scheme val="minor"/>
    </font>
    <font>
      <sz val="11"/>
      <color rgb="FF305496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1"/>
    <xf numFmtId="0" fontId="3" fillId="0" borderId="0" xfId="0" applyFont="1"/>
    <xf numFmtId="164" fontId="0" fillId="0" borderId="0" xfId="0" applyNumberFormat="1"/>
    <xf numFmtId="164" fontId="2" fillId="0" borderId="0" xfId="1" applyNumberFormat="1" applyFill="1"/>
    <xf numFmtId="0" fontId="2" fillId="0" borderId="0" xfId="1" applyFill="1"/>
    <xf numFmtId="164" fontId="1" fillId="0" borderId="0" xfId="0" applyNumberFormat="1" applyFont="1"/>
    <xf numFmtId="164" fontId="2" fillId="0" borderId="0" xfId="1" applyNumberFormat="1"/>
    <xf numFmtId="44" fontId="0" fillId="0" borderId="0" xfId="2" applyFont="1"/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Total Compensation Resident (based on minimum stipend)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Plots!$A$2:$A$15</c:f>
              <c:strCache>
                <c:ptCount val="14"/>
                <c:pt idx="0">
                  <c:v>UNL</c:v>
                </c:pt>
                <c:pt idx="1">
                  <c:v>Minnesota</c:v>
                </c:pt>
                <c:pt idx="2">
                  <c:v>Illinois, Urbana</c:v>
                </c:pt>
                <c:pt idx="3">
                  <c:v>U of Maryland</c:v>
                </c:pt>
                <c:pt idx="4">
                  <c:v>U of Wisconsin</c:v>
                </c:pt>
                <c:pt idx="5">
                  <c:v>Purdue</c:v>
                </c:pt>
                <c:pt idx="6">
                  <c:v>Michigan State</c:v>
                </c:pt>
                <c:pt idx="7">
                  <c:v>U of Iowa</c:v>
                </c:pt>
                <c:pt idx="8">
                  <c:v>Northwestern</c:v>
                </c:pt>
                <c:pt idx="9">
                  <c:v>Penn State</c:v>
                </c:pt>
                <c:pt idx="10">
                  <c:v>The Ohio State</c:v>
                </c:pt>
                <c:pt idx="11">
                  <c:v>U of Michigan</c:v>
                </c:pt>
                <c:pt idx="12">
                  <c:v>IU, Bloomington</c:v>
                </c:pt>
                <c:pt idx="13">
                  <c:v>Rutgers</c:v>
                </c:pt>
              </c:strCache>
            </c:strRef>
          </c:cat>
          <c:val>
            <c:numRef>
              <c:f>Plots!$B$2:$B$15</c:f>
              <c:numCache>
                <c:formatCode>_("$"* #,##0.00_);_("$"* \(#,##0.00\);_("$"* "-"??_);_(@_)</c:formatCode>
                <c:ptCount val="14"/>
                <c:pt idx="0">
                  <c:v>17526.9038</c:v>
                </c:pt>
                <c:pt idx="1">
                  <c:v>37931.148174372531</c:v>
                </c:pt>
                <c:pt idx="2">
                  <c:v>33419.766220565813</c:v>
                </c:pt>
                <c:pt idx="3">
                  <c:v>28887.307470544529</c:v>
                </c:pt>
                <c:pt idx="4">
                  <c:v>29708.530522848905</c:v>
                </c:pt>
                <c:pt idx="5">
                  <c:v>31859.557714285715</c:v>
                </c:pt>
                <c:pt idx="6">
                  <c:v>37639.943898027515</c:v>
                </c:pt>
                <c:pt idx="7">
                  <c:v>35585.040389377507</c:v>
                </c:pt>
                <c:pt idx="8">
                  <c:v>74150.327742192763</c:v>
                </c:pt>
                <c:pt idx="9">
                  <c:v>44017.032217103049</c:v>
                </c:pt>
                <c:pt idx="10">
                  <c:v>38323.321678321685</c:v>
                </c:pt>
                <c:pt idx="11">
                  <c:v>36895.246630510934</c:v>
                </c:pt>
                <c:pt idx="12">
                  <c:v>36161.319358838657</c:v>
                </c:pt>
                <c:pt idx="13">
                  <c:v>46710.8091456736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F-4D45-89A2-7B445725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582703"/>
        <c:axId val="1564576879"/>
      </c:barChart>
      <c:catAx>
        <c:axId val="15645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76879"/>
        <c:crosses val="autoZero"/>
        <c:auto val="1"/>
        <c:lblAlgn val="ctr"/>
        <c:lblOffset val="100"/>
        <c:noMultiLvlLbl val="0"/>
      </c:catAx>
      <c:valAx>
        <c:axId val="156457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Total Compensation Nonresident (based on minimum stipend)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Plots!$A$2:$A$15</c:f>
              <c:strCache>
                <c:ptCount val="14"/>
                <c:pt idx="0">
                  <c:v>UNL</c:v>
                </c:pt>
                <c:pt idx="1">
                  <c:v>Minnesota</c:v>
                </c:pt>
                <c:pt idx="2">
                  <c:v>Illinois, Urbana</c:v>
                </c:pt>
                <c:pt idx="3">
                  <c:v>U of Maryland</c:v>
                </c:pt>
                <c:pt idx="4">
                  <c:v>U of Wisconsin</c:v>
                </c:pt>
                <c:pt idx="5">
                  <c:v>Purdue</c:v>
                </c:pt>
                <c:pt idx="6">
                  <c:v>Michigan State</c:v>
                </c:pt>
                <c:pt idx="7">
                  <c:v>U of Iowa</c:v>
                </c:pt>
                <c:pt idx="8">
                  <c:v>Northwestern</c:v>
                </c:pt>
                <c:pt idx="9">
                  <c:v>Penn State</c:v>
                </c:pt>
                <c:pt idx="10">
                  <c:v>The Ohio State</c:v>
                </c:pt>
                <c:pt idx="11">
                  <c:v>U of Michigan</c:v>
                </c:pt>
                <c:pt idx="12">
                  <c:v>IU, Bloomington</c:v>
                </c:pt>
                <c:pt idx="13">
                  <c:v>Rutgers</c:v>
                </c:pt>
              </c:strCache>
            </c:strRef>
          </c:cat>
          <c:val>
            <c:numRef>
              <c:f>Plots!$C$2:$C$15</c:f>
              <c:numCache>
                <c:formatCode>_("$"* #,##0.00_);_("$"* \(#,##0.00\);_("$"* "-"??_);_(@_)</c:formatCode>
                <c:ptCount val="14"/>
                <c:pt idx="0">
                  <c:v>29316.9038</c:v>
                </c:pt>
                <c:pt idx="1">
                  <c:v>47210.445400264209</c:v>
                </c:pt>
                <c:pt idx="2">
                  <c:v>48715.253261053702</c:v>
                </c:pt>
                <c:pt idx="3">
                  <c:v>43010.162878675306</c:v>
                </c:pt>
                <c:pt idx="4">
                  <c:v>42415.428044462744</c:v>
                </c:pt>
                <c:pt idx="5">
                  <c:v>52035.047444015443</c:v>
                </c:pt>
                <c:pt idx="6">
                  <c:v>53853.722426671346</c:v>
                </c:pt>
                <c:pt idx="7">
                  <c:v>35585.040389377507</c:v>
                </c:pt>
                <c:pt idx="8">
                  <c:v>74150.327742192763</c:v>
                </c:pt>
                <c:pt idx="9">
                  <c:v>44017.032217103049</c:v>
                </c:pt>
                <c:pt idx="10">
                  <c:v>65266.495427649286</c:v>
                </c:pt>
                <c:pt idx="11">
                  <c:v>48718.042904221911</c:v>
                </c:pt>
                <c:pt idx="12">
                  <c:v>53417.9954090428</c:v>
                </c:pt>
                <c:pt idx="13">
                  <c:v>46710.8091456736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A-409A-8E16-A78A6CA6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582703"/>
        <c:axId val="1564576879"/>
      </c:barChart>
      <c:catAx>
        <c:axId val="15645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76879"/>
        <c:crosses val="autoZero"/>
        <c:auto val="1"/>
        <c:lblAlgn val="ctr"/>
        <c:lblOffset val="100"/>
        <c:noMultiLvlLbl val="0"/>
      </c:catAx>
      <c:valAx>
        <c:axId val="156457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Cash Before Tax (based on minimum stipend)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Plots!$A$2:$A$15</c:f>
              <c:strCache>
                <c:ptCount val="14"/>
                <c:pt idx="0">
                  <c:v>UNL</c:v>
                </c:pt>
                <c:pt idx="1">
                  <c:v>Minnesota</c:v>
                </c:pt>
                <c:pt idx="2">
                  <c:v>Illinois, Urbana</c:v>
                </c:pt>
                <c:pt idx="3">
                  <c:v>U of Maryland</c:v>
                </c:pt>
                <c:pt idx="4">
                  <c:v>U of Wisconsin</c:v>
                </c:pt>
                <c:pt idx="5">
                  <c:v>Purdue</c:v>
                </c:pt>
                <c:pt idx="6">
                  <c:v>Michigan State</c:v>
                </c:pt>
                <c:pt idx="7">
                  <c:v>U of Iowa</c:v>
                </c:pt>
                <c:pt idx="8">
                  <c:v>Northwestern</c:v>
                </c:pt>
                <c:pt idx="9">
                  <c:v>Penn State</c:v>
                </c:pt>
                <c:pt idx="10">
                  <c:v>The Ohio State</c:v>
                </c:pt>
                <c:pt idx="11">
                  <c:v>U of Michigan</c:v>
                </c:pt>
                <c:pt idx="12">
                  <c:v>IU, Bloomington</c:v>
                </c:pt>
                <c:pt idx="13">
                  <c:v>Rutgers</c:v>
                </c:pt>
              </c:strCache>
            </c:strRef>
          </c:cat>
          <c:val>
            <c:numRef>
              <c:f>Plots!$D$2:$D$15</c:f>
              <c:numCache>
                <c:formatCode>_("$"* #,##0.00_);_("$"* \(#,##0.00\);_("$"* "-"??_);_(@_)</c:formatCode>
                <c:ptCount val="14"/>
                <c:pt idx="0">
                  <c:v>8526.6468999999997</c:v>
                </c:pt>
                <c:pt idx="1">
                  <c:v>14982.592549537652</c:v>
                </c:pt>
                <c:pt idx="2">
                  <c:v>16354.812807047265</c:v>
                </c:pt>
                <c:pt idx="3">
                  <c:v>16911.760925591763</c:v>
                </c:pt>
                <c:pt idx="4">
                  <c:v>18027.88130094689</c:v>
                </c:pt>
                <c:pt idx="5">
                  <c:v>18953.983042471042</c:v>
                </c:pt>
                <c:pt idx="6">
                  <c:v>19274.857121802666</c:v>
                </c:pt>
                <c:pt idx="7">
                  <c:v>19671.761079327127</c:v>
                </c:pt>
                <c:pt idx="8">
                  <c:v>20327.268150437405</c:v>
                </c:pt>
                <c:pt idx="9">
                  <c:v>20770.891409147094</c:v>
                </c:pt>
                <c:pt idx="10">
                  <c:v>21405.506455083378</c:v>
                </c:pt>
                <c:pt idx="11">
                  <c:v>21535.076923476143</c:v>
                </c:pt>
                <c:pt idx="12">
                  <c:v>23114.471495539088</c:v>
                </c:pt>
                <c:pt idx="13">
                  <c:v>29856.867469879518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9-4C90-ADC1-2E278EAB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582703"/>
        <c:axId val="1564576879"/>
      </c:barChart>
      <c:catAx>
        <c:axId val="156458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76879"/>
        <c:crosses val="autoZero"/>
        <c:auto val="1"/>
        <c:lblAlgn val="ctr"/>
        <c:lblOffset val="100"/>
        <c:noMultiLvlLbl val="0"/>
      </c:catAx>
      <c:valAx>
        <c:axId val="1564576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58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111919</xdr:colOff>
      <xdr:row>33</xdr:row>
      <xdr:rowOff>83343</xdr:rowOff>
    </xdr:from>
    <xdr:to>
      <xdr:col>4</xdr:col>
      <xdr:colOff>328615</xdr:colOff>
      <xdr:row>50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CC655C-0871-9F30-9BEE-23A3BD51B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80963</xdr:colOff>
      <xdr:row>52</xdr:row>
      <xdr:rowOff>0</xdr:rowOff>
    </xdr:from>
    <xdr:to>
      <xdr:col>4</xdr:col>
      <xdr:colOff>297659</xdr:colOff>
      <xdr:row>68</xdr:row>
      <xdr:rowOff>178594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79B5EF-1F33-4BC7-8F6A-869375E5C206}"/>
            </a:ext>
            <a:ext uri="{147F2762-F138-4A5C-976F-8EAC2B608ADB}">
              <a16:predDERef xmlns:a16="http://schemas.microsoft.com/office/drawing/2014/main" pred="{ACCC655C-0871-9F30-9BEE-23A3BD51B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</xdr:colOff>
      <xdr:row>15</xdr:row>
      <xdr:rowOff>95250</xdr:rowOff>
    </xdr:from>
    <xdr:to>
      <xdr:col>4</xdr:col>
      <xdr:colOff>316708</xdr:colOff>
      <xdr:row>32</xdr:row>
      <xdr:rowOff>92869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46E046-8F7E-48B3-A6BF-E2E18EA37C81}"/>
            </a:ext>
            <a:ext uri="{147F2762-F138-4A5C-976F-8EAC2B608ADB}">
              <a16:predDERef xmlns:a16="http://schemas.microsoft.com/office/drawing/2014/main" pred="{2179B5EF-1F33-4BC7-8F6A-869375E5C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47D33E-1E3C-499F-9D78-4CB3B63C85AE}" name="Table1" displayName="Table1" ref="A1:D15" totalsRowShown="0" dataCellStyle="Currency">
  <autoFilter ref="A1:D15" xr:uid="{0047D33E-1E3C-499F-9D78-4CB3B63C85AE}"/>
  <sortState xmlns:xlrd2="http://schemas.microsoft.com/office/spreadsheetml/2017/richdata2" ref="A2:D15">
    <sortCondition ref="D1:D15"/>
  </sortState>
  <tableColumns count="4">
    <tableColumn id="1" xr3:uid="{A1F9D970-F7DA-4C43-B535-25F44DE6AFC4}" name="University"/>
    <tableColumn id="2" xr3:uid="{D0890F11-7ED9-4EB0-9FF1-B9F9E5D097C0}" name="Normalized Total Compensation Resident" dataCellStyle="Currency"/>
    <tableColumn id="3" xr3:uid="{55B6945E-ED3B-4BB3-86C9-324545C566A5}" name="Normalized Total Compensation Non-Resident" dataCellStyle="Currency"/>
    <tableColumn id="4" xr3:uid="{B142E96F-CDDC-4670-B46C-7054275CD705}" name="Normalized Cash Before Tax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gs.northwestern.edu/funding/" TargetMode="External"/><Relationship Id="rId21" Type="http://schemas.openxmlformats.org/officeDocument/2006/relationships/hyperlink" Target="https://ro.umich.edu/tuition-residency/tuition-fees?academic_year=169&amp;college_school=141&amp;full_half_term=35&amp;level_of_study=38" TargetMode="External"/><Relationship Id="rId42" Type="http://schemas.openxmlformats.org/officeDocument/2006/relationships/hyperlink" Target="https://moneysmarts.iu.edu/calculate-costs/index.html?page=tuitionAndFees" TargetMode="External"/><Relationship Id="rId47" Type="http://schemas.openxmlformats.org/officeDocument/2006/relationships/hyperlink" Target="https://bursar.wisc.edu/tuition-and-fees/tuition-rates/segregated-fees" TargetMode="External"/><Relationship Id="rId63" Type="http://schemas.openxmlformats.org/officeDocument/2006/relationships/hyperlink" Target="https://finance.rutgers.edu/sites/default/files/2022-08/Camden_Graduate_22_23_Updated.pdf" TargetMode="External"/><Relationship Id="rId68" Type="http://schemas.openxmlformats.org/officeDocument/2006/relationships/hyperlink" Target="https://www.unl.edu/gradstudies/funding/assistantships" TargetMode="External"/><Relationship Id="rId2" Type="http://schemas.openxmlformats.org/officeDocument/2006/relationships/hyperlink" Target="https://studentaccounts.unl.edu/graduate-tuition" TargetMode="External"/><Relationship Id="rId16" Type="http://schemas.openxmlformats.org/officeDocument/2006/relationships/hyperlink" Target="https://billpay.umd.edu/GraduateTuition" TargetMode="External"/><Relationship Id="rId29" Type="http://schemas.openxmlformats.org/officeDocument/2006/relationships/hyperlink" Target="https://registrar.osu.edu/FeeTables/GraduateStudentFees_Autumn2022_Spring2023_Summer%202023.pdf" TargetMode="External"/><Relationship Id="rId11" Type="http://schemas.openxmlformats.org/officeDocument/2006/relationships/hyperlink" Target="https://hr.iu.edu/benefits/GA-medical.html" TargetMode="External"/><Relationship Id="rId24" Type="http://schemas.openxmlformats.org/officeDocument/2006/relationships/hyperlink" Target="https://hr.msu.edu/benefits/graduate-assistants/health/rates.html" TargetMode="External"/><Relationship Id="rId32" Type="http://schemas.openxmlformats.org/officeDocument/2006/relationships/hyperlink" Target="https://guru.psu.edu/resources/rates-and-schedules/stipends-for-graduate-assistants?range=20222023&amp;submit=Submit" TargetMode="External"/><Relationship Id="rId37" Type="http://schemas.openxmlformats.org/officeDocument/2006/relationships/hyperlink" Target="https://tuition.psu.edu/tuitiondynamic/tabledrivenrates.aspx?location=up" TargetMode="External"/><Relationship Id="rId40" Type="http://schemas.openxmlformats.org/officeDocument/2006/relationships/hyperlink" Target="https://finance.rutgers.edu/sites/default/files/2022-08/Camden_Graduate_22_23_Updated.pdf" TargetMode="External"/><Relationship Id="rId45" Type="http://schemas.openxmlformats.org/officeDocument/2006/relationships/hyperlink" Target="https://www.purdue.edu/bursar/tuition/feerates/2022-2023/graduate/fall-spring.php" TargetMode="External"/><Relationship Id="rId53" Type="http://schemas.openxmlformats.org/officeDocument/2006/relationships/hyperlink" Target="https://ro.umich.edu/tuition-residency/tuition-fees?academic_year=175&amp;college_school=141&amp;full_half_term=35&amp;level_of_study=38" TargetMode="External"/><Relationship Id="rId58" Type="http://schemas.openxmlformats.org/officeDocument/2006/relationships/hyperlink" Target="https://gradsch.osu.edu/handbook/11-3-benefits-graduate-associates-fellows-and-trainees-health-benefits" TargetMode="External"/><Relationship Id="rId66" Type="http://schemas.openxmlformats.org/officeDocument/2006/relationships/hyperlink" Target="https://studentaccounts.unl.edu/graduate-tuition" TargetMode="External"/><Relationship Id="rId5" Type="http://schemas.openxmlformats.org/officeDocument/2006/relationships/hyperlink" Target="https://www.unl.edu/gradstudies/funding/assistantships" TargetMode="External"/><Relationship Id="rId61" Type="http://schemas.openxmlformats.org/officeDocument/2006/relationships/hyperlink" Target="https://indd.adobe.com/view/62931d4e-d1d6-406f-b852-5bae89cfccbe" TargetMode="External"/><Relationship Id="rId19" Type="http://schemas.openxmlformats.org/officeDocument/2006/relationships/hyperlink" Target="https://hr.umich.edu/benefits-wellness/health-well-being/health-plans/gradcare" TargetMode="External"/><Relationship Id="rId14" Type="http://schemas.openxmlformats.org/officeDocument/2006/relationships/hyperlink" Target="https://registrar.uiowa.edu/mandatory-fees" TargetMode="External"/><Relationship Id="rId22" Type="http://schemas.openxmlformats.org/officeDocument/2006/relationships/hyperlink" Target="https://hr.msu.edu/employment/graduate-assistants/stipend-ranges.html" TargetMode="External"/><Relationship Id="rId27" Type="http://schemas.openxmlformats.org/officeDocument/2006/relationships/hyperlink" Target="https://www.northwestern.edu/sfs/payments/common-fees/index.html" TargetMode="External"/><Relationship Id="rId30" Type="http://schemas.openxmlformats.org/officeDocument/2006/relationships/hyperlink" Target="https://registrar.osu.edu/FeeTables/GraduateStudentFees_Autumn2022_Spring2023_Summer%202023.pdf" TargetMode="External"/><Relationship Id="rId35" Type="http://schemas.openxmlformats.org/officeDocument/2006/relationships/hyperlink" Target="https://www.wisconsin.edu/ohrwd/benefits/download/Comparison-Health-and-Pharmacy2.pdf" TargetMode="External"/><Relationship Id="rId43" Type="http://schemas.openxmlformats.org/officeDocument/2006/relationships/hyperlink" Target="https://www.purdue.edu/bursar/tuition/feerates/2022-2023/graduate/fall-spring.php" TargetMode="External"/><Relationship Id="rId48" Type="http://schemas.openxmlformats.org/officeDocument/2006/relationships/hyperlink" Target="https://bursar.wisc.edu/tuition-and-fees/tuition-rates" TargetMode="External"/><Relationship Id="rId56" Type="http://schemas.openxmlformats.org/officeDocument/2006/relationships/hyperlink" Target="https://www.northwestern.edu/sfs/tuition/graduate/the-graduate-school.html" TargetMode="External"/><Relationship Id="rId64" Type="http://schemas.openxmlformats.org/officeDocument/2006/relationships/hyperlink" Target="https://uhr.rutgers.edu/hr-professional/full-time-ta-and-ga-starting" TargetMode="External"/><Relationship Id="rId69" Type="http://schemas.openxmlformats.org/officeDocument/2006/relationships/hyperlink" Target="https://studentaccounts.unl.edu/graduate-tuition" TargetMode="External"/><Relationship Id="rId8" Type="http://schemas.openxmlformats.org/officeDocument/2006/relationships/hyperlink" Target="https://grad.illinois.edu/files/pdfs/handbook.pdf" TargetMode="External"/><Relationship Id="rId51" Type="http://schemas.openxmlformats.org/officeDocument/2006/relationships/hyperlink" Target="https://shb.umn.edu/graduate-assistants/gahp-costs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https://studentaccounts.unl.edu/graduate-tuition" TargetMode="External"/><Relationship Id="rId12" Type="http://schemas.openxmlformats.org/officeDocument/2006/relationships/hyperlink" Target="https://grad.uiowa.edu/graduate-student-employment-agreement/wages" TargetMode="External"/><Relationship Id="rId17" Type="http://schemas.openxmlformats.org/officeDocument/2006/relationships/hyperlink" Target="https://uhr.umd.edu/benefits/" TargetMode="External"/><Relationship Id="rId25" Type="http://schemas.openxmlformats.org/officeDocument/2006/relationships/hyperlink" Target="https://onestop.umn.edu/finances/tuition" TargetMode="External"/><Relationship Id="rId33" Type="http://schemas.openxmlformats.org/officeDocument/2006/relationships/hyperlink" Target="https://tuition.psu.edu/Rates2022-23/StudentInitiatedFee.aspx" TargetMode="External"/><Relationship Id="rId38" Type="http://schemas.openxmlformats.org/officeDocument/2006/relationships/hyperlink" Target="https://studentaffairs.psu.edu/health-wellness/health-insurance/graduate-assistants-fellows-and-trainees/medical-rates" TargetMode="External"/><Relationship Id="rId46" Type="http://schemas.openxmlformats.org/officeDocument/2006/relationships/hyperlink" Target="https://grad.wisc.edu/funding/graduate-assistantships/" TargetMode="External"/><Relationship Id="rId59" Type="http://schemas.openxmlformats.org/officeDocument/2006/relationships/hyperlink" Target="https://www.purdue.edu/gradschool/documents/gpo/graduate-student-employment-manual.pdf" TargetMode="External"/><Relationship Id="rId67" Type="http://schemas.openxmlformats.org/officeDocument/2006/relationships/hyperlink" Target="https://studentaccounts.unl.edu/graduate-tuition" TargetMode="External"/><Relationship Id="rId20" Type="http://schemas.openxmlformats.org/officeDocument/2006/relationships/hyperlink" Target="https://ro.umich.edu/tuition-residency/tuition-fees?academic_year=175&amp;college_school=141&amp;full_half_term=35&amp;level_of_study=38" TargetMode="External"/><Relationship Id="rId41" Type="http://schemas.openxmlformats.org/officeDocument/2006/relationships/hyperlink" Target="https://moneysmarts.iu.edu/calculate-costs/index.html?page=estimate" TargetMode="External"/><Relationship Id="rId54" Type="http://schemas.openxmlformats.org/officeDocument/2006/relationships/hyperlink" Target="https://hr.umn.edu/sites/hr.umn.edu/files/2022-06/academic_salary_floors_fy23_6-13-22.pdf" TargetMode="External"/><Relationship Id="rId62" Type="http://schemas.openxmlformats.org/officeDocument/2006/relationships/hyperlink" Target="https://www.purdue.edu/hr/Benefits/gradstaff/benefits-enrollment/pdf/Purdue_Grad_OE2021.pdf" TargetMode="External"/><Relationship Id="rId70" Type="http://schemas.openxmlformats.org/officeDocument/2006/relationships/hyperlink" Target="https://livingwage.mit.edu/" TargetMode="External"/><Relationship Id="rId1" Type="http://schemas.openxmlformats.org/officeDocument/2006/relationships/hyperlink" Target="https://www.unl.edu/gradstudies/funding/assistantships" TargetMode="External"/><Relationship Id="rId6" Type="http://schemas.openxmlformats.org/officeDocument/2006/relationships/hyperlink" Target="https://registrar.illinois.edu/g-tuition-rates-2223/" TargetMode="External"/><Relationship Id="rId15" Type="http://schemas.openxmlformats.org/officeDocument/2006/relationships/hyperlink" Target="https://gradschool.umd.edu/sites/gradschool.umd.edu/files/uploads/docs/revised_fy23_stipend_memo.pdf" TargetMode="External"/><Relationship Id="rId23" Type="http://schemas.openxmlformats.org/officeDocument/2006/relationships/hyperlink" Target="https://finaid.msu.edu/grad.asp" TargetMode="External"/><Relationship Id="rId28" Type="http://schemas.openxmlformats.org/officeDocument/2006/relationships/hyperlink" Target="https://gradsch.osu.edu/graduate-associate-fellow-appointments" TargetMode="External"/><Relationship Id="rId36" Type="http://schemas.openxmlformats.org/officeDocument/2006/relationships/hyperlink" Target="https://studentaccounts.unl.edu/graduate-tuition" TargetMode="External"/><Relationship Id="rId49" Type="http://schemas.openxmlformats.org/officeDocument/2006/relationships/hyperlink" Target="https://hr.umn.edu/sites/hr.umn.edu/files/2022-06/academic_salary_floors_fy23_6-13-22.pdf" TargetMode="External"/><Relationship Id="rId57" Type="http://schemas.openxmlformats.org/officeDocument/2006/relationships/hyperlink" Target="https://registrar.osu.edu/FeeTables/GraduateStudentFees_Autumn2022_Spring2023_Summer%202023.pdf" TargetMode="External"/><Relationship Id="rId10" Type="http://schemas.openxmlformats.org/officeDocument/2006/relationships/hyperlink" Target="https://moneysmarts.iu.edu/calculate-costs/index.html?page=tuitionAndFees" TargetMode="External"/><Relationship Id="rId31" Type="http://schemas.openxmlformats.org/officeDocument/2006/relationships/hyperlink" Target="https://shi.osu.edu/shi-benefits-plan/rates-dates-and-deadlines" TargetMode="External"/><Relationship Id="rId44" Type="http://schemas.openxmlformats.org/officeDocument/2006/relationships/hyperlink" Target="https://www.purdue.edu/bursar/tuition/feerates/2022-2023/graduate/fall-spring.php" TargetMode="External"/><Relationship Id="rId52" Type="http://schemas.openxmlformats.org/officeDocument/2006/relationships/hyperlink" Target="https://grad.uiowa.edu/funding/graduate-student-employment-standards/tuition-scholarship" TargetMode="External"/><Relationship Id="rId60" Type="http://schemas.openxmlformats.org/officeDocument/2006/relationships/hyperlink" Target="https://indd.adobe.com/view/62931d4e-d1d6-406f-b852-5bae89cfccbe" TargetMode="External"/><Relationship Id="rId65" Type="http://schemas.openxmlformats.org/officeDocument/2006/relationships/hyperlink" Target="https://studentaccounts.unl.edu/graduate-tuition" TargetMode="External"/><Relationship Id="rId73" Type="http://schemas.openxmlformats.org/officeDocument/2006/relationships/comments" Target="../comments1.xml"/><Relationship Id="rId4" Type="http://schemas.openxmlformats.org/officeDocument/2006/relationships/hyperlink" Target="https://studentaccounts.unl.edu/graduate-tuition" TargetMode="External"/><Relationship Id="rId9" Type="http://schemas.openxmlformats.org/officeDocument/2006/relationships/hyperlink" Target="https://vpfaa.indiana.edu/doc/graduate-student-academic-appointees-guide.pdf" TargetMode="External"/><Relationship Id="rId13" Type="http://schemas.openxmlformats.org/officeDocument/2006/relationships/hyperlink" Target="https://hr.uiowa.edu/benefits/ui-student-insurance/grad-students-and-health-science-majors-benefits/ship-and-uigradcare" TargetMode="External"/><Relationship Id="rId18" Type="http://schemas.openxmlformats.org/officeDocument/2006/relationships/hyperlink" Target="https://hr.umich.edu/sites/default/files/2022-2023_gsa_salary_memo.pdf" TargetMode="External"/><Relationship Id="rId39" Type="http://schemas.openxmlformats.org/officeDocument/2006/relationships/hyperlink" Target="https://finance.rutgers.edu/sites/default/files/2022-08/Camden_Graduate_22_23_Updated.pdf" TargetMode="External"/><Relationship Id="rId34" Type="http://schemas.openxmlformats.org/officeDocument/2006/relationships/hyperlink" Target="https://studentaffairs.psu.edu/health-wellness/health-insurance/graduate-assistants-fellows-and-trainees/medical-rates" TargetMode="External"/><Relationship Id="rId50" Type="http://schemas.openxmlformats.org/officeDocument/2006/relationships/hyperlink" Target="https://www.maui.uiowa.edu/maui/pub/tuition/rates.page" TargetMode="External"/><Relationship Id="rId55" Type="http://schemas.openxmlformats.org/officeDocument/2006/relationships/hyperlink" Target="https://www.northwestern.edu/sfs/tuition/graduate/the-graduate-school.html" TargetMode="External"/><Relationship Id="rId7" Type="http://schemas.openxmlformats.org/officeDocument/2006/relationships/hyperlink" Target="https://static1.squarespace.com/static/5b98363e0dbda3802a84ce92/t/60ecbb06b06780101959faba/1626127113676/GEO_2017_2022_contract.pdf" TargetMode="External"/><Relationship Id="rId7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9" workbookViewId="0">
      <selection activeCell="A37" sqref="A37"/>
    </sheetView>
  </sheetViews>
  <sheetFormatPr defaultRowHeight="14.25"/>
  <cols>
    <col min="1" max="1" width="40" bestFit="1" customWidth="1"/>
    <col min="2" max="2" width="41.140625" customWidth="1"/>
    <col min="3" max="3" width="11.85546875" bestFit="1" customWidth="1"/>
    <col min="4" max="4" width="14.28515625" bestFit="1" customWidth="1"/>
    <col min="5" max="5" width="12.7109375" customWidth="1"/>
    <col min="6" max="8" width="11.85546875" bestFit="1" customWidth="1"/>
    <col min="9" max="9" width="14.28515625" bestFit="1" customWidth="1"/>
    <col min="10" max="10" width="11.85546875" bestFit="1" customWidth="1"/>
    <col min="11" max="11" width="13.42578125" bestFit="1" customWidth="1"/>
    <col min="12" max="12" width="13.7109375" bestFit="1" customWidth="1"/>
    <col min="13" max="13" width="12.28515625" customWidth="1"/>
    <col min="14" max="16" width="11.85546875" bestFit="1" customWidth="1"/>
  </cols>
  <sheetData>
    <row r="1" spans="1:16" ht="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t="15">
      <c r="A2" t="s">
        <v>16</v>
      </c>
      <c r="B2" s="9"/>
      <c r="C2" s="3"/>
      <c r="D2" s="3"/>
      <c r="E2" s="4"/>
      <c r="F2" s="3"/>
      <c r="G2" s="3"/>
      <c r="H2" s="4">
        <f>12027.5</f>
        <v>12027.5</v>
      </c>
      <c r="I2" s="3"/>
      <c r="J2" s="3"/>
      <c r="K2" s="3"/>
      <c r="L2" s="4"/>
      <c r="M2" s="3"/>
      <c r="N2" s="3"/>
      <c r="O2" s="3"/>
      <c r="P2" s="3"/>
    </row>
    <row r="3" spans="1:16" ht="15">
      <c r="A3" t="s">
        <v>17</v>
      </c>
      <c r="B3" s="10">
        <v>22494</v>
      </c>
      <c r="C3" s="4">
        <v>10930</v>
      </c>
      <c r="D3" s="4">
        <v>17788</v>
      </c>
      <c r="E3" s="4">
        <v>22000</v>
      </c>
      <c r="F3" s="4">
        <v>20708</v>
      </c>
      <c r="G3" s="4">
        <v>25574</v>
      </c>
      <c r="H3" s="6">
        <f>H2*2</f>
        <v>24055</v>
      </c>
      <c r="I3" s="4">
        <f>838*30.41667/14*10</f>
        <v>18206.549614285716</v>
      </c>
      <c r="J3" s="4">
        <f>J4*10/12</f>
        <v>17974.666666666668</v>
      </c>
      <c r="K3" s="6">
        <f>K4*10/12</f>
        <v>29330</v>
      </c>
      <c r="L3" s="4">
        <v>21280</v>
      </c>
      <c r="M3" s="4">
        <v>22005</v>
      </c>
      <c r="N3" s="7">
        <v>18880</v>
      </c>
      <c r="O3" s="7">
        <f>30162*20/15</f>
        <v>40216</v>
      </c>
      <c r="P3" s="4">
        <v>21115</v>
      </c>
    </row>
    <row r="4" spans="1:16" ht="15">
      <c r="A4" t="s">
        <v>18</v>
      </c>
      <c r="B4" s="9"/>
      <c r="C4" s="3"/>
      <c r="D4" s="3"/>
      <c r="E4" s="3"/>
      <c r="F4" s="3">
        <v>25300</v>
      </c>
      <c r="G4" s="3">
        <v>32304</v>
      </c>
      <c r="H4" s="3"/>
      <c r="I4" s="3"/>
      <c r="J4" s="4">
        <f>43139.2*0.5</f>
        <v>21569.599999999999</v>
      </c>
      <c r="K4" s="4">
        <v>35196</v>
      </c>
      <c r="L4" s="3"/>
      <c r="M4" s="3"/>
      <c r="N4" s="3">
        <v>24124</v>
      </c>
      <c r="O4" s="7">
        <f>33999*20/15</f>
        <v>45332</v>
      </c>
      <c r="P4" s="4"/>
    </row>
    <row r="5" spans="1:16" ht="15">
      <c r="A5" s="2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3" t="s">
        <v>20</v>
      </c>
      <c r="N7" s="3" t="s">
        <v>20</v>
      </c>
      <c r="O7" s="4"/>
      <c r="P7" s="3" t="s">
        <v>20</v>
      </c>
    </row>
    <row r="8" spans="1:16">
      <c r="A8" t="s">
        <v>21</v>
      </c>
      <c r="B8" s="3"/>
      <c r="C8" s="3"/>
      <c r="D8" s="3"/>
      <c r="E8" s="3"/>
      <c r="F8" s="4">
        <f>5437.5*2</f>
        <v>10875</v>
      </c>
      <c r="G8" s="3"/>
      <c r="H8" s="3"/>
      <c r="I8" s="3"/>
      <c r="J8" s="3"/>
      <c r="K8" s="4">
        <f>20721*3</f>
        <v>62163</v>
      </c>
      <c r="L8" s="4"/>
      <c r="M8" s="4">
        <v>20380</v>
      </c>
      <c r="N8" s="3"/>
      <c r="O8" s="4">
        <f>9348*2</f>
        <v>18696</v>
      </c>
      <c r="P8" s="3"/>
    </row>
    <row r="9" spans="1:16">
      <c r="A9" t="s">
        <v>22</v>
      </c>
      <c r="B9" s="4">
        <f>341*9*2</f>
        <v>6138</v>
      </c>
      <c r="C9" s="4">
        <f>341*9*2</f>
        <v>6138</v>
      </c>
      <c r="D9" s="4">
        <v>13440</v>
      </c>
      <c r="E9" s="4">
        <f>418.03*9*2</f>
        <v>7524.5399999999991</v>
      </c>
      <c r="F9" s="3"/>
      <c r="G9" s="4">
        <f>811.9*10*2</f>
        <v>16238</v>
      </c>
      <c r="H9" s="4">
        <v>12947</v>
      </c>
      <c r="I9" s="4">
        <v>14710</v>
      </c>
      <c r="J9" s="4">
        <f>9234*2</f>
        <v>18468</v>
      </c>
      <c r="K9" s="3"/>
      <c r="L9" s="4">
        <f>755.75*8*2</f>
        <v>12092</v>
      </c>
      <c r="M9" s="4"/>
      <c r="N9" s="4">
        <f>4859*2</f>
        <v>9718</v>
      </c>
      <c r="O9" s="4"/>
      <c r="P9" s="4">
        <f>6125.28*2</f>
        <v>12250.56</v>
      </c>
    </row>
    <row r="10" spans="1:16">
      <c r="A10" t="s">
        <v>23</v>
      </c>
      <c r="B10" s="4">
        <f>996*9*2</f>
        <v>17928</v>
      </c>
      <c r="C10" s="4">
        <f>996*9*2</f>
        <v>17928</v>
      </c>
      <c r="D10" s="4">
        <v>29034</v>
      </c>
      <c r="E10" s="4">
        <f>1330.51*9*2</f>
        <v>23949.18</v>
      </c>
      <c r="F10" s="3"/>
      <c r="G10" s="4">
        <f>1769.38*10*2</f>
        <v>35387.600000000006</v>
      </c>
      <c r="H10" s="4">
        <v>26062</v>
      </c>
      <c r="I10" s="4">
        <v>29904</v>
      </c>
      <c r="J10" s="4">
        <f>14289*2</f>
        <v>28578</v>
      </c>
      <c r="K10" s="3"/>
      <c r="L10" s="4">
        <f>(755.75+1622)*8*2</f>
        <v>38044</v>
      </c>
      <c r="M10" s="4"/>
      <c r="N10" s="4">
        <f>(4859+9401)*2</f>
        <v>28520</v>
      </c>
      <c r="O10" s="4"/>
      <c r="P10" s="4">
        <f>12788.72*2</f>
        <v>25577.439999999999</v>
      </c>
    </row>
    <row r="11" spans="1:16">
      <c r="A11" t="s">
        <v>24</v>
      </c>
      <c r="B11" s="4">
        <f>(20+646+(11+6.25)*9)*2</f>
        <v>1642.5</v>
      </c>
      <c r="C11" s="4">
        <f>(20+646+(11+6.25)*9)*2</f>
        <v>1642.5</v>
      </c>
      <c r="D11" s="4">
        <f>(557-119)*2</f>
        <v>876</v>
      </c>
      <c r="E11" s="3">
        <v>0</v>
      </c>
      <c r="F11" s="4">
        <f>569*0.5</f>
        <v>284.5</v>
      </c>
      <c r="G11" s="4">
        <v>605</v>
      </c>
      <c r="H11" s="4">
        <v>166.19</v>
      </c>
      <c r="I11" s="4">
        <v>144</v>
      </c>
      <c r="J11" s="3">
        <f>481.48*2</f>
        <v>962.96</v>
      </c>
      <c r="K11" s="4">
        <f>125*3+260*3</f>
        <v>1155</v>
      </c>
      <c r="L11" s="3">
        <v>0</v>
      </c>
      <c r="M11" s="3">
        <v>0</v>
      </c>
      <c r="N11" s="4">
        <f>(117+20)*2</f>
        <v>274</v>
      </c>
      <c r="O11" s="4">
        <f>(945.5+144.5+186)*2</f>
        <v>2552</v>
      </c>
      <c r="P11" s="4">
        <v>761.52</v>
      </c>
    </row>
    <row r="12" spans="1:16">
      <c r="A12" t="s">
        <v>25</v>
      </c>
      <c r="B12" s="3">
        <v>0</v>
      </c>
      <c r="C12" s="3">
        <v>0</v>
      </c>
      <c r="D12" s="4">
        <f>(1979-796.92)*2</f>
        <v>2364.16</v>
      </c>
      <c r="E12" s="4">
        <f>717.33*2</f>
        <v>1434.66</v>
      </c>
      <c r="F12" s="7">
        <f>740-F11</f>
        <v>455.5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4">
        <f>37.5+123+13.5+(25.5+9.3)*8</f>
        <v>452.4</v>
      </c>
      <c r="M12" s="4">
        <f>274.74*2</f>
        <v>549.48</v>
      </c>
      <c r="N12" s="3">
        <v>0</v>
      </c>
      <c r="O12" s="3">
        <v>0</v>
      </c>
      <c r="P12" s="3">
        <v>0</v>
      </c>
    </row>
    <row r="13" spans="1:16">
      <c r="A13" t="s">
        <v>26</v>
      </c>
      <c r="B13" s="4">
        <f>(1520.62+2102.49)*(1-0.79)</f>
        <v>760.85309999999981</v>
      </c>
      <c r="C13" s="4">
        <f>(1520.62+2102.49)*(1-0.79)</f>
        <v>760.85309999999981</v>
      </c>
      <c r="D13" s="4">
        <f>119*2</f>
        <v>238</v>
      </c>
      <c r="E13" s="3">
        <v>0</v>
      </c>
      <c r="F13" s="4">
        <f>(441*12)*0.1</f>
        <v>529.20000000000005</v>
      </c>
      <c r="G13" s="4">
        <f>(111.92+8.32+49.58)*12</f>
        <v>2037.84</v>
      </c>
      <c r="H13" s="3">
        <v>0</v>
      </c>
      <c r="I13" s="3">
        <v>0</v>
      </c>
      <c r="J13" s="3">
        <f>(573.24-544.58)*12+171.96*2</f>
        <v>687.83999999999969</v>
      </c>
      <c r="K13" s="4">
        <v>4698</v>
      </c>
      <c r="L13" s="4">
        <f>(3530+883)*(1-0.85)</f>
        <v>661.95</v>
      </c>
      <c r="M13" s="4">
        <f>671+51.31</f>
        <v>722.31</v>
      </c>
      <c r="N13" s="4">
        <f>682.35+260</f>
        <v>942.35</v>
      </c>
      <c r="O13" s="3">
        <v>0</v>
      </c>
      <c r="P13" s="4">
        <f>120.5*12</f>
        <v>1446</v>
      </c>
    </row>
    <row r="14" spans="1:16">
      <c r="A14" t="s">
        <v>27</v>
      </c>
      <c r="B14" s="4">
        <f>(1520.62+2102.49)*(0.79)</f>
        <v>2862.2568999999999</v>
      </c>
      <c r="C14" s="4">
        <f>(1520.62+2102.49)*(0.79)</f>
        <v>2862.2568999999999</v>
      </c>
      <c r="D14" s="4">
        <f>796.92*2</f>
        <v>1593.84</v>
      </c>
      <c r="E14" s="4">
        <f>1441.08+2017.51</f>
        <v>3458.59</v>
      </c>
      <c r="F14" s="3">
        <f>(441*12)*0.9</f>
        <v>4762.8</v>
      </c>
      <c r="G14" s="3">
        <v>0</v>
      </c>
      <c r="H14" s="4">
        <f>341*12</f>
        <v>4092</v>
      </c>
      <c r="I14" s="4">
        <f>625*4</f>
        <v>2500</v>
      </c>
      <c r="J14" s="4">
        <f>544.58*12</f>
        <v>6534.9600000000009</v>
      </c>
      <c r="K14" s="3">
        <v>0</v>
      </c>
      <c r="L14" s="4">
        <f>(3530+883)*0.85</f>
        <v>3751.0499999999997</v>
      </c>
      <c r="M14" s="4">
        <f>2684+205.45</f>
        <v>2889.45</v>
      </c>
      <c r="N14" s="4">
        <v>2309</v>
      </c>
      <c r="O14" s="4">
        <v>2565</v>
      </c>
      <c r="P14" s="3">
        <v>0</v>
      </c>
    </row>
    <row r="15" spans="1:16" ht="15">
      <c r="A15" t="s">
        <v>28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5"/>
      <c r="M15" s="3"/>
      <c r="N15" s="3"/>
      <c r="O15" s="3"/>
      <c r="P15" s="3"/>
    </row>
    <row r="16" spans="1:16" ht="15">
      <c r="B16" s="3"/>
      <c r="C16" s="3"/>
      <c r="D16" s="3"/>
      <c r="E16" s="3"/>
      <c r="F16" s="3"/>
      <c r="G16" s="3"/>
      <c r="H16" s="3"/>
      <c r="I16" s="3"/>
      <c r="J16" s="3"/>
      <c r="K16" s="3"/>
      <c r="L16" s="5"/>
      <c r="M16" s="3"/>
      <c r="N16" s="3"/>
      <c r="O16" s="3"/>
      <c r="P16" s="3"/>
    </row>
    <row r="17" spans="1:16" ht="15">
      <c r="A17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t="s">
        <v>30</v>
      </c>
      <c r="B18" s="3"/>
      <c r="C18" s="3"/>
      <c r="D18" s="3"/>
      <c r="E18" s="3"/>
      <c r="F18" s="3">
        <f>F3+F8-F11+F12-F13+F14</f>
        <v>35987.599999999999</v>
      </c>
      <c r="G18" s="3"/>
      <c r="H18" s="3"/>
      <c r="I18" s="3"/>
      <c r="J18" s="3"/>
      <c r="K18" s="3">
        <f>K3+K8-K11+K12-K13+K14</f>
        <v>85640</v>
      </c>
      <c r="L18" s="3"/>
      <c r="M18" s="3">
        <f>M3+M8-M11+M12-M13+M14</f>
        <v>45101.62</v>
      </c>
      <c r="N18" s="3"/>
      <c r="O18" s="3">
        <f>O3+O8-O11+O12-O13+O14</f>
        <v>58925</v>
      </c>
      <c r="P18" s="3"/>
    </row>
    <row r="19" spans="1:16">
      <c r="A19" t="s">
        <v>31</v>
      </c>
      <c r="B19" s="3">
        <f>B3+B4+B2+B9-B11+B12-B13+B14</f>
        <v>29090.9038</v>
      </c>
      <c r="C19" s="3">
        <f>C3+C9-C11+C12-C13+C14</f>
        <v>17526.9038</v>
      </c>
      <c r="D19" s="3">
        <f t="shared" ref="D19:P19" si="0">D3+D9-D11+D12-D13+D14</f>
        <v>34072</v>
      </c>
      <c r="E19" s="3">
        <f t="shared" si="0"/>
        <v>34417.79</v>
      </c>
      <c r="F19" s="3"/>
      <c r="G19" s="3">
        <f t="shared" si="0"/>
        <v>39169.160000000003</v>
      </c>
      <c r="H19" s="3">
        <f t="shared" si="0"/>
        <v>40927.81</v>
      </c>
      <c r="I19" s="3">
        <f t="shared" si="0"/>
        <v>35272.549614285716</v>
      </c>
      <c r="J19" s="3">
        <f t="shared" si="0"/>
        <v>41326.826666666675</v>
      </c>
      <c r="K19" s="3"/>
      <c r="L19" s="3">
        <f t="shared" si="0"/>
        <v>36913.500000000007</v>
      </c>
      <c r="M19" s="3"/>
      <c r="N19" s="3">
        <f t="shared" si="0"/>
        <v>29690.65</v>
      </c>
      <c r="O19" s="3"/>
      <c r="P19" s="3">
        <f t="shared" si="0"/>
        <v>31158.039999999997</v>
      </c>
    </row>
    <row r="20" spans="1:16">
      <c r="A20" t="s">
        <v>32</v>
      </c>
      <c r="B20" s="3">
        <f>B3+B2+B4+B10-B11+B12-B13+B14</f>
        <v>40880.9038</v>
      </c>
      <c r="C20" s="3">
        <f>C3+C10-C11+C12-C13+C14</f>
        <v>29316.9038</v>
      </c>
      <c r="D20" s="3">
        <f t="shared" ref="D20:P20" si="1">D3+D10-D11+D12-D13+D14</f>
        <v>49666</v>
      </c>
      <c r="E20" s="3">
        <f>E3+E10-E11+E12-E13+E14</f>
        <v>50842.430000000008</v>
      </c>
      <c r="F20" s="3"/>
      <c r="G20" s="3">
        <f t="shared" si="1"/>
        <v>58318.760000000009</v>
      </c>
      <c r="H20" s="3">
        <f t="shared" si="1"/>
        <v>54042.81</v>
      </c>
      <c r="I20" s="3">
        <f t="shared" si="1"/>
        <v>50466.549614285716</v>
      </c>
      <c r="J20" s="3">
        <f t="shared" si="1"/>
        <v>51436.826666666675</v>
      </c>
      <c r="K20" s="3"/>
      <c r="L20" s="3">
        <f t="shared" si="1"/>
        <v>62865.500000000007</v>
      </c>
      <c r="M20" s="3"/>
      <c r="N20" s="3">
        <f t="shared" si="1"/>
        <v>48492.65</v>
      </c>
      <c r="O20" s="3"/>
      <c r="P20" s="3">
        <f t="shared" si="1"/>
        <v>44484.920000000006</v>
      </c>
    </row>
    <row r="21" spans="1:16">
      <c r="A21" t="s">
        <v>33</v>
      </c>
      <c r="B21" s="3">
        <f>B3+B2+B4-B11-B13</f>
        <v>20090.6469</v>
      </c>
      <c r="C21" s="3">
        <f>C3-C11-C13</f>
        <v>8526.6468999999997</v>
      </c>
      <c r="D21" s="3">
        <f t="shared" ref="D21:P21" si="2">D3-D11-D13</f>
        <v>16674</v>
      </c>
      <c r="E21" s="3">
        <f t="shared" si="2"/>
        <v>22000</v>
      </c>
      <c r="F21" s="3">
        <f t="shared" si="2"/>
        <v>19894.3</v>
      </c>
      <c r="G21" s="3">
        <f t="shared" si="2"/>
        <v>22931.16</v>
      </c>
      <c r="H21" s="3">
        <f t="shared" si="2"/>
        <v>23888.81</v>
      </c>
      <c r="I21" s="3">
        <f t="shared" si="2"/>
        <v>18062.549614285716</v>
      </c>
      <c r="J21" s="3">
        <f t="shared" si="2"/>
        <v>16323.866666666669</v>
      </c>
      <c r="K21" s="3">
        <f t="shared" si="2"/>
        <v>23477</v>
      </c>
      <c r="L21" s="3">
        <f t="shared" si="2"/>
        <v>20618.05</v>
      </c>
      <c r="M21" s="3">
        <f t="shared" si="2"/>
        <v>21282.69</v>
      </c>
      <c r="N21" s="3">
        <f t="shared" si="2"/>
        <v>17663.650000000001</v>
      </c>
      <c r="O21" s="3">
        <f t="shared" si="2"/>
        <v>37664</v>
      </c>
      <c r="P21" s="3">
        <f t="shared" si="2"/>
        <v>18907.48</v>
      </c>
    </row>
    <row r="22" spans="1:16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5">
      <c r="A23" s="1" t="s">
        <v>34</v>
      </c>
      <c r="B23" s="3">
        <v>34740</v>
      </c>
      <c r="C23" s="3">
        <v>34740</v>
      </c>
      <c r="D23" s="3">
        <v>35418</v>
      </c>
      <c r="E23" s="3">
        <v>33065</v>
      </c>
      <c r="F23" s="3">
        <v>35133</v>
      </c>
      <c r="G23" s="3">
        <v>47105</v>
      </c>
      <c r="H23" s="3">
        <v>38537</v>
      </c>
      <c r="I23" s="3">
        <v>32555</v>
      </c>
      <c r="J23" s="3">
        <v>37850</v>
      </c>
      <c r="K23" s="3">
        <v>40123</v>
      </c>
      <c r="L23" s="3">
        <v>33462</v>
      </c>
      <c r="M23" s="3">
        <v>35596</v>
      </c>
      <c r="N23" s="3">
        <v>32375</v>
      </c>
      <c r="O23" s="3">
        <v>43824</v>
      </c>
      <c r="P23" s="3">
        <v>36435</v>
      </c>
    </row>
    <row r="24" spans="1:16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t="s">
        <v>35</v>
      </c>
      <c r="B25" s="3">
        <f>B19*$C$23/B$23</f>
        <v>29090.9038</v>
      </c>
      <c r="C25" s="3">
        <f>C19*$C$23/C$23</f>
        <v>17526.9038</v>
      </c>
      <c r="D25" s="3">
        <f t="shared" ref="D25:P25" si="3">D19*$C$23/D$23</f>
        <v>33419.766220565813</v>
      </c>
      <c r="E25" s="3">
        <f t="shared" si="3"/>
        <v>36161.319358838657</v>
      </c>
      <c r="F25" s="3">
        <f>F18*$C$23/F$23</f>
        <v>35585.040389377507</v>
      </c>
      <c r="G25" s="3">
        <f t="shared" si="3"/>
        <v>28887.307470544529</v>
      </c>
      <c r="H25" s="3">
        <f t="shared" si="3"/>
        <v>36895.246630510934</v>
      </c>
      <c r="I25" s="3">
        <f t="shared" si="3"/>
        <v>37639.943898027515</v>
      </c>
      <c r="J25" s="3">
        <f t="shared" si="3"/>
        <v>37931.148174372531</v>
      </c>
      <c r="K25" s="3">
        <f>K18*$C$23/K$23</f>
        <v>74150.327742192763</v>
      </c>
      <c r="L25" s="3">
        <f t="shared" si="3"/>
        <v>38323.321678321685</v>
      </c>
      <c r="M25" s="3">
        <f>M18*$C$23/M$23</f>
        <v>44017.032217103049</v>
      </c>
      <c r="N25" s="3">
        <f t="shared" si="3"/>
        <v>31859.557714285715</v>
      </c>
      <c r="O25" s="3">
        <f>O18*$C$23/O$23</f>
        <v>46710.8091456736</v>
      </c>
      <c r="P25" s="3">
        <f t="shared" si="3"/>
        <v>29708.530522848905</v>
      </c>
    </row>
    <row r="26" spans="1:16">
      <c r="A26" t="s">
        <v>36</v>
      </c>
      <c r="B26" s="3">
        <f>B20*$C$23/B$23</f>
        <v>40880.9038</v>
      </c>
      <c r="C26" s="3">
        <f>C20*$C$23/C$23</f>
        <v>29316.9038</v>
      </c>
      <c r="D26" s="3">
        <f t="shared" ref="D26:P26" si="4">D20*$C$23/D$23</f>
        <v>48715.253261053702</v>
      </c>
      <c r="E26" s="3">
        <f t="shared" si="4"/>
        <v>53417.9954090428</v>
      </c>
      <c r="F26" s="3">
        <f>F18*$C$23/F$23</f>
        <v>35585.040389377507</v>
      </c>
      <c r="G26" s="3">
        <f t="shared" si="4"/>
        <v>43010.162878675306</v>
      </c>
      <c r="H26" s="3">
        <f t="shared" si="4"/>
        <v>48718.042904221911</v>
      </c>
      <c r="I26" s="3">
        <f t="shared" si="4"/>
        <v>53853.722426671346</v>
      </c>
      <c r="J26" s="3">
        <f t="shared" si="4"/>
        <v>47210.445400264209</v>
      </c>
      <c r="K26" s="3">
        <f>K18*$C$23/K$23</f>
        <v>74150.327742192763</v>
      </c>
      <c r="L26" s="3">
        <f t="shared" si="4"/>
        <v>65266.495427649286</v>
      </c>
      <c r="M26" s="3">
        <f>M18*$C$23/M$23</f>
        <v>44017.032217103049</v>
      </c>
      <c r="N26" s="3">
        <f t="shared" si="4"/>
        <v>52035.047444015443</v>
      </c>
      <c r="O26" s="3">
        <f>O18*$C$23/O$23</f>
        <v>46710.8091456736</v>
      </c>
      <c r="P26" s="3">
        <f t="shared" si="4"/>
        <v>42415.428044462744</v>
      </c>
    </row>
    <row r="27" spans="1:16">
      <c r="A27" t="s">
        <v>37</v>
      </c>
      <c r="B27" s="3">
        <f>B21*$C$23/B$23</f>
        <v>20090.6469</v>
      </c>
      <c r="C27" s="3">
        <f>C21*$C$23/C$23</f>
        <v>8526.6468999999997</v>
      </c>
      <c r="D27" s="3">
        <f t="shared" ref="D27:P27" si="5">D21*$C$23/D$23</f>
        <v>16354.812807047265</v>
      </c>
      <c r="E27" s="3">
        <f t="shared" si="5"/>
        <v>23114.471495539088</v>
      </c>
      <c r="F27" s="3">
        <f t="shared" si="5"/>
        <v>19671.761079327127</v>
      </c>
      <c r="G27" s="3">
        <f t="shared" si="5"/>
        <v>16911.760925591763</v>
      </c>
      <c r="H27" s="3">
        <f t="shared" si="5"/>
        <v>21535.076923476143</v>
      </c>
      <c r="I27" s="3">
        <f t="shared" si="5"/>
        <v>19274.857121802666</v>
      </c>
      <c r="J27" s="3">
        <f t="shared" si="5"/>
        <v>14982.592549537652</v>
      </c>
      <c r="K27" s="3">
        <f t="shared" si="5"/>
        <v>20327.268150437405</v>
      </c>
      <c r="L27" s="3">
        <f t="shared" si="5"/>
        <v>21405.506455083378</v>
      </c>
      <c r="M27" s="3">
        <f t="shared" si="5"/>
        <v>20770.891409147094</v>
      </c>
      <c r="N27" s="3">
        <f t="shared" si="5"/>
        <v>18953.983042471042</v>
      </c>
      <c r="O27" s="3">
        <f t="shared" si="5"/>
        <v>29856.867469879518</v>
      </c>
      <c r="P27" s="3">
        <f t="shared" si="5"/>
        <v>18027.88130094689</v>
      </c>
    </row>
    <row r="28" spans="1:16" ht="15">
      <c r="A28" t="s">
        <v>38</v>
      </c>
    </row>
    <row r="31" spans="1:16" ht="15">
      <c r="A31" t="s">
        <v>39</v>
      </c>
    </row>
    <row r="32" spans="1:16">
      <c r="A32" t="s">
        <v>40</v>
      </c>
      <c r="B32" s="3">
        <f>AVERAGE(D25:P25)</f>
        <v>39329.950089435632</v>
      </c>
      <c r="C32" s="3"/>
    </row>
    <row r="33" spans="1:3">
      <c r="A33" t="s">
        <v>41</v>
      </c>
      <c r="B33" s="3">
        <f>AVERAGE(D26:P26)</f>
        <v>50392.754053107972</v>
      </c>
      <c r="C33" s="3"/>
    </row>
    <row r="34" spans="1:3">
      <c r="A34" t="s">
        <v>42</v>
      </c>
      <c r="B34" s="3">
        <f>AVERAGE(D27:P27)</f>
        <v>20091.363902329773</v>
      </c>
    </row>
    <row r="36" spans="1:3">
      <c r="A36" t="s">
        <v>43</v>
      </c>
    </row>
  </sheetData>
  <sheetProtection algorithmName="SHA-512" hashValue="wjIGhdmEegbxzGH9DUpo60KeNPoWkNXzZHlT6cWIUd9ScnkwWDVpuythTVGdux0c72QBC6DQgTWE4nuPESRDHg==" saltValue="CbFZ1JPMMW7iT3tieO8CEA==" spinCount="100000" sheet="1" objects="1" scenarios="1"/>
  <hyperlinks>
    <hyperlink ref="C3" r:id="rId1" display="https://www.unl.edu/gradstudies/funding/assistantships" xr:uid="{84BF24B3-752B-4AA6-A7FE-D9C5F4C94635}"/>
    <hyperlink ref="C9" r:id="rId2" location="ay_res_block" display="https://studentaccounts.unl.edu/graduate-tuition - ay_res_block" xr:uid="{61D23121-5091-4054-9051-D7E506DA6459}"/>
    <hyperlink ref="C11" r:id="rId3" location="ay_res_block" display="https://studentaccounts.unl.edu/graduate-tuition - ay_res_block" xr:uid="{88346100-C6EF-47C4-907A-A4C74446FA5A}"/>
    <hyperlink ref="C13" r:id="rId4" location="ay_res_block" display="https://studentaccounts.unl.edu/graduate-tuition - ay_res_block" xr:uid="{97D10E53-C976-496A-9BA2-2CB58E69A5D6}"/>
    <hyperlink ref="C14" r:id="rId5" display="https://www.unl.edu/gradstudies/funding/assistantships" xr:uid="{5C8B3EF6-2FC1-4087-8E9A-7B850B72115D}"/>
    <hyperlink ref="D9" r:id="rId6" display=" $            13,179 " xr:uid="{6C85C444-9F1D-480E-A49C-70EDF8E08C24}"/>
    <hyperlink ref="D3" r:id="rId7" display=" $            10,000 " xr:uid="{4A793DD6-3149-40D3-A1E1-662073204742}"/>
    <hyperlink ref="D11:D14" r:id="rId8" location="grievance-policy" display="https://grad.illinois.edu/files/pdfs/handbook.pdf - grievance-policy" xr:uid="{939E9AE6-0664-491C-B509-5B978A597965}"/>
    <hyperlink ref="E3" r:id="rId9" display="https://vpfaa.indiana.edu/doc/graduate-student-academic-appointees-guide.pdf" xr:uid="{4F2B6DA8-C83D-4BC8-BC66-B66E169A80DB}"/>
    <hyperlink ref="E9" r:id="rId10" display="https://moneysmarts.iu.edu/calculate-costs/index.html?page=tuitionAndFees" xr:uid="{E3DEAEBD-AC18-403B-A57E-6D835090EBB3}"/>
    <hyperlink ref="E14" r:id="rId11" display="=1386.13+2017.51" xr:uid="{DBADD43E-4310-4475-B261-AADBFC1E9634}"/>
    <hyperlink ref="F3" r:id="rId12" display="https://grad.uiowa.edu/graduate-student-employment-agreement/wages" xr:uid="{72C1B588-294F-488D-9CCF-F07A758E425D}"/>
    <hyperlink ref="F13" r:id="rId13" display="https://hr.uiowa.edu/benefits/ui-student-insurance/grad-students-and-health-science-majors-benefits/ship-and-uigradcare" xr:uid="{3FFF8414-E8F1-4C3D-84DF-1FA5340A50F1}"/>
    <hyperlink ref="F11" r:id="rId14" display=" $             569 " xr:uid="{432C027A-114B-4430-877D-1CF33AD0A755}"/>
    <hyperlink ref="G3" r:id="rId15" display=" $       23,186 " xr:uid="{10476179-69ED-45B0-A928-E6A3D4AB0472}"/>
    <hyperlink ref="G9:G11" r:id="rId16" display="https://billpay.umd.edu/GraduateTuition" xr:uid="{28F76C3C-9098-4273-AEE3-8D47396C6202}"/>
    <hyperlink ref="G13" r:id="rId17" display="=(111.92+8.32+49.58)*12" xr:uid="{2A1B6C60-7140-4B56-92C9-2CD9576D8A56}"/>
    <hyperlink ref="H2" r:id="rId18" display=" $       11,598 " xr:uid="{25E81B49-9963-40C7-A678-7D75033C6C16}"/>
    <hyperlink ref="H14" r:id="rId19" display="https://hr.umich.edu/benefits-wellness/health-well-being/health-plans/gradcare" xr:uid="{172E2E99-394C-46B0-89DF-2CA3654D5402}"/>
    <hyperlink ref="H9" r:id="rId20" display=" $       12,947 " xr:uid="{F035CC21-05F8-46A8-920D-EA43ADA3B3D2}"/>
    <hyperlink ref="H11" r:id="rId21" display="https://ro.umich.edu/tuition-residency/tuition-fees?academic_year=169&amp;college_school=141&amp;full_half_term=35&amp;level_of_study=38" xr:uid="{C552BA5A-D791-41E5-80D4-385EE2B0D4A8}"/>
    <hyperlink ref="I3" r:id="rId22" display=" $             13408" xr:uid="{85810EB9-A504-4A6B-99ED-6B5202C99B05}"/>
    <hyperlink ref="I9:I11" r:id="rId23" display="https://finaid.msu.edu/grad.asp" xr:uid="{60D5AC77-6592-4D20-9EA7-04D7B5C4CC1D}"/>
    <hyperlink ref="I14" r:id="rId24" display="https://hr.msu.edu/benefits/graduate-assistants/health/rates.html" xr:uid="{A95DCAE6-E713-4835-A7AD-114C608D3A47}"/>
    <hyperlink ref="J9" r:id="rId25" display="https://onestop.umn.edu/finances/tuition" xr:uid="{241DAD3B-0C20-434E-93F1-750C18F7A8A0}"/>
    <hyperlink ref="K4" r:id="rId26" display=" $           35,196 " xr:uid="{0820A664-8AF7-4FA9-823E-2BC7847E4B0E}"/>
    <hyperlink ref="K13" r:id="rId27" display=" $             4,698 " xr:uid="{61CDA30D-C8AF-4C11-82FC-F09488B995B3}"/>
    <hyperlink ref="L3" r:id="rId28" display="https://gradsch.osu.edu/graduate-associate-fellow-appointments" xr:uid="{021D1E32-50C3-4A69-B9EC-801666762CAC}"/>
    <hyperlink ref="L9" r:id="rId29" display="=755.75*8*2" xr:uid="{E163DC1A-2D12-4553-93C2-6FDD0253A92F}"/>
    <hyperlink ref="L12" r:id="rId30" display="=37.5+123+13.5+(25.5+9.3)*8" xr:uid="{78FAFC5E-6D3C-48A3-BE47-EE51BDCED9A9}"/>
    <hyperlink ref="L13:L14" r:id="rId31" display="https://shi.osu.edu/shi-benefits-plan/rates-dates-and-deadlines" xr:uid="{288938AF-6910-4161-B1CB-6D5E2208D738}"/>
    <hyperlink ref="M3" r:id="rId32" display=" $       22,005 " xr:uid="{7B1A1E58-1861-4EE1-9B74-9751B55D3D56}"/>
    <hyperlink ref="M12" r:id="rId33" location="FASP-SAF" display="=274.74*2" xr:uid="{12D93609-9704-4738-A698-280BF807F1B6}"/>
    <hyperlink ref="M14" r:id="rId34" display=" $          2,684 " xr:uid="{F8C126A6-03D8-4A94-8AE9-0A4437DD6BC9}"/>
    <hyperlink ref="P13" r:id="rId35" display="=65.75*52/2" xr:uid="{C55E3FE3-A4C1-470F-BEDC-2229D02E37FB}"/>
    <hyperlink ref="C10" r:id="rId36" location="ay_res_block" display="https://studentaccounts.unl.edu/graduate-tuition - ay_res_block" xr:uid="{E32E71A4-0658-469F-B2AA-FAF08A50C456}"/>
    <hyperlink ref="M8" r:id="rId37" display=" 20,380_x0009_ " xr:uid="{E26402B6-C912-4801-991E-068C23E8EE01}"/>
    <hyperlink ref="M13" r:id="rId38" display=" $             671 " xr:uid="{713FA539-8941-493A-8124-4DD459D02355}"/>
    <hyperlink ref="O11" r:id="rId39" display=" $          1,276 " xr:uid="{8AA49B93-227A-4C1C-B07C-470617C0F813}"/>
    <hyperlink ref="O14" r:id="rId40" display=" $          2,565 " xr:uid="{560097CA-6686-4144-BD63-49BD3DE4CD28}"/>
    <hyperlink ref="E10" r:id="rId41" display="=18842.52*2" xr:uid="{C429EB8B-6ABF-47DB-B282-D11F8BAF47DF}"/>
    <hyperlink ref="E12" r:id="rId42" display="https://moneysmarts.iu.edu/calculate-costs/index.html?page=tuitionAndFees" xr:uid="{B3477730-0033-49C1-9497-41CDD3FD9954}"/>
    <hyperlink ref="N9" r:id="rId43" display="=4603.9*2" xr:uid="{D89A31A4-30EF-4950-A6ED-0D5532DD7A69}"/>
    <hyperlink ref="N11" r:id="rId44" display="=(94.1+161+117+20)*2" xr:uid="{EF4AA442-C2C0-49A3-BD3C-1428F7E38C66}"/>
    <hyperlink ref="N10" r:id="rId45" display="=4603.9*2" xr:uid="{2C76A4AD-192E-4654-B5F3-8E5162618616}"/>
    <hyperlink ref="P3" r:id="rId46" display=" $       21,115 " xr:uid="{4B26ACA6-AAE9-49F3-8C67-7120878CC206}"/>
    <hyperlink ref="P11" r:id="rId47" display=" $             761 " xr:uid="{C20E513B-5826-4AAB-BC90-C1013B0CFE77}"/>
    <hyperlink ref="P9" r:id="rId48" display="=6087.24*2" xr:uid="{AF4263E8-8176-4669-A29C-761525B2E914}"/>
    <hyperlink ref="J3" r:id="rId49" display="=20007*2" xr:uid="{03EA4B01-ED83-F74F-ACED-3544E15302A0}"/>
    <hyperlink ref="F8" r:id="rId50" display="https://www.maui.uiowa.edu/maui/pub/tuition/rates.page" xr:uid="{483F6250-47C9-40BE-97D8-60358FB352DC}"/>
    <hyperlink ref="J14" r:id="rId51" display="https://shb.umn.edu/graduate-assistants/gahp-costs" xr:uid="{9343C599-83FE-894B-92C3-C9796570CECC}"/>
    <hyperlink ref="F12" r:id="rId52" display="=740-E13" xr:uid="{86540C9E-996C-4A22-AB2D-3F2C7F03F6D8}"/>
    <hyperlink ref="H10" r:id="rId53" display=" $       26,062 " xr:uid="{900D447A-44B7-4D36-A2EA-474981AB616F}"/>
    <hyperlink ref="J4" r:id="rId54" display="=20007*2" xr:uid="{67374EDE-EDDF-4D0D-A430-F61DD828FE81}"/>
    <hyperlink ref="K8" r:id="rId55" display="=18689*3" xr:uid="{AF525E70-C68C-4B48-B0FF-405C5C208C5E}"/>
    <hyperlink ref="K11" r:id="rId56" location="tab-panel1-1" display="=125*3+260*3" xr:uid="{1227AE39-686D-4749-8340-D617D75CBF9A}"/>
    <hyperlink ref="L10" r:id="rId57" display="=(755.75+1622)*8*2" xr:uid="{080E52CD-91D3-4D33-8FEB-913C9583342B}"/>
    <hyperlink ref="L14" r:id="rId58" display="=(3530+883)*0.85" xr:uid="{105690C6-9C72-4C32-911C-A6A57222F7BB}"/>
    <hyperlink ref="N3" r:id="rId59" display=" $       18,880 " xr:uid="{67EFC5CE-7F73-4B69-8375-BA9FA0095116}"/>
    <hyperlink ref="N13" r:id="rId60" display="=682.35+260" xr:uid="{9EA6AD38-50D1-4B6B-9A58-63339E532F6D}"/>
    <hyperlink ref="N14" r:id="rId61" display=" $          2,309 " xr:uid="{BE72E28B-4E7F-4397-B793-877CAA0C7261}"/>
    <hyperlink ref="N13:N14" r:id="rId62" display="https://www.purdue.edu/hr/Benefits/gradstaff/benefits-enrollment/pdf/Purdue_Grad_OE2021.pdf" xr:uid="{C1D63E87-D2F4-4263-AE1F-7E94C9F06C23}"/>
    <hyperlink ref="O8" r:id="rId63" display=" $          9,348 " xr:uid="{565C2779-E78E-4393-9857-90F30BBE357F}"/>
    <hyperlink ref="O3:O4" r:id="rId64" display="https://uhr.rutgers.edu/hr-professional/full-time-ta-and-ga-starting" xr:uid="{0C5C3410-8D24-43C6-98D0-56A6F2C43A0E}"/>
    <hyperlink ref="B9" r:id="rId65" location="ay_res_block" display="https://studentaccounts.unl.edu/graduate-tuition - ay_res_block" xr:uid="{AA37C69F-DDB7-4BBB-95EC-942E2250FF87}"/>
    <hyperlink ref="B11" r:id="rId66" location="ay_res_block" display="https://studentaccounts.unl.edu/graduate-tuition - ay_res_block" xr:uid="{B2A8E634-EA0A-4240-BEEB-62DD23EBD538}"/>
    <hyperlink ref="B13" r:id="rId67" location="ay_res_block" display="https://studentaccounts.unl.edu/graduate-tuition - ay_res_block" xr:uid="{59EBE5C8-BFA4-44A1-AB37-287730325C7E}"/>
    <hyperlink ref="B14" r:id="rId68" display="https://www.unl.edu/gradstudies/funding/assistantships" xr:uid="{2A1A6EB3-873E-44DD-BD6F-F79829156D03}"/>
    <hyperlink ref="B10" r:id="rId69" location="ay_res_block" display="https://studentaccounts.unl.edu/graduate-tuition - ay_res_block" xr:uid="{D7C840F5-1A3C-4CD7-BEC8-469F750CDA15}"/>
    <hyperlink ref="A23" r:id="rId70" xr:uid="{F202937D-A331-4F13-93AA-1277B8E4EED5}"/>
  </hyperlinks>
  <pageMargins left="0.7" right="0.7" top="0.75" bottom="0.75" header="0.3" footer="0.3"/>
  <pageSetup orientation="portrait" r:id="rId71"/>
  <legacy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13A3-D543-4657-9F85-FCF3EA59F2AD}">
  <dimension ref="A1:D15"/>
  <sheetViews>
    <sheetView workbookViewId="0">
      <selection activeCell="F19" sqref="F19"/>
    </sheetView>
  </sheetViews>
  <sheetFormatPr defaultRowHeight="14.25"/>
  <cols>
    <col min="1" max="1" width="15.42578125" bestFit="1" customWidth="1"/>
    <col min="2" max="3" width="30.7109375" bestFit="1" customWidth="1"/>
    <col min="4" max="4" width="29" bestFit="1" customWidth="1"/>
  </cols>
  <sheetData>
    <row r="1" spans="1:4">
      <c r="A1" t="s">
        <v>44</v>
      </c>
      <c r="B1" t="s">
        <v>45</v>
      </c>
      <c r="C1" t="s">
        <v>46</v>
      </c>
      <c r="D1" t="s">
        <v>47</v>
      </c>
    </row>
    <row r="2" spans="1:4">
      <c r="A2" t="s">
        <v>2</v>
      </c>
      <c r="B2" s="8">
        <f>StipendData!$C$25</f>
        <v>17526.9038</v>
      </c>
      <c r="C2" s="8">
        <f>StipendData!$C$26</f>
        <v>29316.9038</v>
      </c>
      <c r="D2" s="8">
        <f>StipendData!$C$27</f>
        <v>8526.6468999999997</v>
      </c>
    </row>
    <row r="3" spans="1:4">
      <c r="A3" t="s">
        <v>9</v>
      </c>
      <c r="B3" s="8">
        <f>StipendData!$J$25</f>
        <v>37931.148174372531</v>
      </c>
      <c r="C3" s="8">
        <f>StipendData!$J$26</f>
        <v>47210.445400264209</v>
      </c>
      <c r="D3" s="8">
        <f>StipendData!$J$27</f>
        <v>14982.592549537652</v>
      </c>
    </row>
    <row r="4" spans="1:4">
      <c r="A4" t="s">
        <v>3</v>
      </c>
      <c r="B4" s="8">
        <f>StipendData!$D$25</f>
        <v>33419.766220565813</v>
      </c>
      <c r="C4" s="8">
        <f>StipendData!$D$26</f>
        <v>48715.253261053702</v>
      </c>
      <c r="D4" s="8">
        <f>StipendData!$D$27</f>
        <v>16354.812807047265</v>
      </c>
    </row>
    <row r="5" spans="1:4">
      <c r="A5" t="s">
        <v>6</v>
      </c>
      <c r="B5" s="8">
        <f>StipendData!$G$25</f>
        <v>28887.307470544529</v>
      </c>
      <c r="C5" s="8">
        <f>StipendData!$G$26</f>
        <v>43010.162878675306</v>
      </c>
      <c r="D5" s="8">
        <f>StipendData!$G$27</f>
        <v>16911.760925591763</v>
      </c>
    </row>
    <row r="6" spans="1:4">
      <c r="A6" t="s">
        <v>15</v>
      </c>
      <c r="B6" s="8">
        <f>StipendData!$P$25</f>
        <v>29708.530522848905</v>
      </c>
      <c r="C6" s="8">
        <f>StipendData!$P$26</f>
        <v>42415.428044462744</v>
      </c>
      <c r="D6" s="8">
        <f>StipendData!$P$27</f>
        <v>18027.88130094689</v>
      </c>
    </row>
    <row r="7" spans="1:4">
      <c r="A7" t="s">
        <v>13</v>
      </c>
      <c r="B7" s="8">
        <f>StipendData!$N$25</f>
        <v>31859.557714285715</v>
      </c>
      <c r="C7" s="8">
        <f>StipendData!$N$26</f>
        <v>52035.047444015443</v>
      </c>
      <c r="D7" s="8">
        <f>StipendData!$N$27</f>
        <v>18953.983042471042</v>
      </c>
    </row>
    <row r="8" spans="1:4">
      <c r="A8" t="s">
        <v>8</v>
      </c>
      <c r="B8" s="8">
        <f>StipendData!$I$25</f>
        <v>37639.943898027515</v>
      </c>
      <c r="C8" s="8">
        <f>StipendData!$I$26</f>
        <v>53853.722426671346</v>
      </c>
      <c r="D8" s="8">
        <f>StipendData!$I$27</f>
        <v>19274.857121802666</v>
      </c>
    </row>
    <row r="9" spans="1:4">
      <c r="A9" t="s">
        <v>5</v>
      </c>
      <c r="B9" s="8">
        <f>StipendData!$F$25</f>
        <v>35585.040389377507</v>
      </c>
      <c r="C9" s="8">
        <f>StipendData!$F$26</f>
        <v>35585.040389377507</v>
      </c>
      <c r="D9" s="8">
        <f>StipendData!$F$27</f>
        <v>19671.761079327127</v>
      </c>
    </row>
    <row r="10" spans="1:4">
      <c r="A10" t="s">
        <v>10</v>
      </c>
      <c r="B10" s="8">
        <f>StipendData!$K$25</f>
        <v>74150.327742192763</v>
      </c>
      <c r="C10" s="8">
        <f>StipendData!$K$26</f>
        <v>74150.327742192763</v>
      </c>
      <c r="D10" s="8">
        <f>StipendData!$K$27</f>
        <v>20327.268150437405</v>
      </c>
    </row>
    <row r="11" spans="1:4">
      <c r="A11" t="s">
        <v>12</v>
      </c>
      <c r="B11" s="8">
        <f>StipendData!$M$25</f>
        <v>44017.032217103049</v>
      </c>
      <c r="C11" s="8">
        <f>StipendData!$M$26</f>
        <v>44017.032217103049</v>
      </c>
      <c r="D11" s="8">
        <f>StipendData!$M$27</f>
        <v>20770.891409147094</v>
      </c>
    </row>
    <row r="12" spans="1:4">
      <c r="A12" t="s">
        <v>11</v>
      </c>
      <c r="B12" s="8">
        <f>StipendData!$L$25</f>
        <v>38323.321678321685</v>
      </c>
      <c r="C12" s="8">
        <f>StipendData!$L$26</f>
        <v>65266.495427649286</v>
      </c>
      <c r="D12" s="8">
        <f>StipendData!$L$27</f>
        <v>21405.506455083378</v>
      </c>
    </row>
    <row r="13" spans="1:4">
      <c r="A13" t="s">
        <v>7</v>
      </c>
      <c r="B13" s="8">
        <f>StipendData!$H$25</f>
        <v>36895.246630510934</v>
      </c>
      <c r="C13" s="8">
        <f>StipendData!$H$26</f>
        <v>48718.042904221911</v>
      </c>
      <c r="D13" s="8">
        <f>StipendData!$H$27</f>
        <v>21535.076923476143</v>
      </c>
    </row>
    <row r="14" spans="1:4">
      <c r="A14" t="s">
        <v>4</v>
      </c>
      <c r="B14" s="8">
        <f>StipendData!$E$25</f>
        <v>36161.319358838657</v>
      </c>
      <c r="C14" s="8">
        <f>StipendData!$E$26</f>
        <v>53417.9954090428</v>
      </c>
      <c r="D14" s="8">
        <f>StipendData!$E$27</f>
        <v>23114.471495539088</v>
      </c>
    </row>
    <row r="15" spans="1:4">
      <c r="A15" t="s">
        <v>14</v>
      </c>
      <c r="B15" s="8">
        <f>StipendData!$O$25</f>
        <v>46710.8091456736</v>
      </c>
      <c r="C15" s="8">
        <f>StipendData!$O$26</f>
        <v>46710.8091456736</v>
      </c>
      <c r="D15" s="8">
        <f>StipendData!$O$27</f>
        <v>29856.867469879518</v>
      </c>
    </row>
  </sheetData>
  <sheetProtection sort="0" autoFilter="0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6249f07-dcfd-4cbc-b69f-c34fe5568533">
      <UserInfo>
        <DisplayName>Amanda Brand</DisplayName>
        <AccountId>70</AccountId>
        <AccountType/>
      </UserInfo>
      <UserInfo>
        <DisplayName>Faiza Hafeez</DisplayName>
        <AccountId>26</AccountId>
        <AccountType/>
      </UserInfo>
      <UserInfo>
        <DisplayName>Christa Rahl</DisplayName>
        <AccountId>73</AccountId>
        <AccountType/>
      </UserInfo>
      <UserInfo>
        <DisplayName>Hector Palala Martinez</DisplayName>
        <AccountId>74</AccountId>
        <AccountType/>
      </UserInfo>
      <UserInfo>
        <DisplayName>Eric Rodene</DisplayName>
        <AccountId>8</AccountId>
        <AccountType/>
      </UserInfo>
      <UserInfo>
        <DisplayName>Austin Eide</DisplayName>
        <AccountId>30</AccountId>
        <AccountType/>
      </UserInfo>
      <UserInfo>
        <DisplayName>Katie Mowat</DisplayName>
        <AccountId>19</AccountId>
        <AccountType/>
      </UserInfo>
      <UserInfo>
        <DisplayName>Marlene Beyke</DisplayName>
        <AccountId>67</AccountId>
        <AccountType/>
      </UserInfo>
      <UserInfo>
        <DisplayName>Phillip Howells</DisplayName>
        <AccountId>14</AccountId>
        <AccountType/>
      </UserInfo>
      <UserInfo>
        <DisplayName>Heydi Calderon Ambelis</DisplayName>
        <AccountId>76</AccountId>
        <AccountType/>
      </UserInfo>
      <UserInfo>
        <DisplayName>Lukasz Niparko</DisplayName>
        <AccountId>75</AccountId>
        <AccountType/>
      </UserInfo>
      <UserInfo>
        <DisplayName>Khalid Alkady</DisplayName>
        <AccountId>32</AccountId>
        <AccountType/>
      </UserInfo>
      <UserInfo>
        <DisplayName>Julia Reilly</DisplayName>
        <AccountId>77</AccountId>
        <AccountType/>
      </UserInfo>
      <UserInfo>
        <DisplayName>Connor Gee</DisplayName>
        <AccountId>71</AccountId>
        <AccountType/>
      </UserInfo>
      <UserInfo>
        <DisplayName>Jerome Okojokwu-Idu</DisplayName>
        <AccountId>82</AccountId>
        <AccountType/>
      </UserInfo>
      <UserInfo>
        <DisplayName>Carlie Antes</DisplayName>
        <AccountId>83</AccountId>
        <AccountType/>
      </UserInfo>
      <UserInfo>
        <DisplayName>Venn Jemkur</DisplayName>
        <AccountId>22</AccountId>
        <AccountType/>
      </UserInfo>
      <UserInfo>
        <DisplayName>Katherine Jordan</DisplayName>
        <AccountId>37</AccountId>
        <AccountType/>
      </UserInfo>
      <UserInfo>
        <DisplayName>Kayla Ney</DisplayName>
        <AccountId>72</AccountId>
        <AccountType/>
      </UserInfo>
    </SharedWithUsers>
    <lcf76f155ced4ddcb4097134ff3c332f xmlns="20af7c80-36c0-4b7e-8457-77e8b6913c15">
      <Terms xmlns="http://schemas.microsoft.com/office/infopath/2007/PartnerControls"/>
    </lcf76f155ced4ddcb4097134ff3c332f>
    <TaxCatchAll xmlns="36249f07-dcfd-4cbc-b69f-c34fe55685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83BDCC9FFC4448B2AD5951CBABB081" ma:contentTypeVersion="18" ma:contentTypeDescription="Create a new document." ma:contentTypeScope="" ma:versionID="8a69800a93311df9e7e876f114f66755">
  <xsd:schema xmlns:xsd="http://www.w3.org/2001/XMLSchema" xmlns:xs="http://www.w3.org/2001/XMLSchema" xmlns:p="http://schemas.microsoft.com/office/2006/metadata/properties" xmlns:ns2="20af7c80-36c0-4b7e-8457-77e8b6913c15" xmlns:ns3="36249f07-dcfd-4cbc-b69f-c34fe5568533" targetNamespace="http://schemas.microsoft.com/office/2006/metadata/properties" ma:root="true" ma:fieldsID="5a5bb21bfd2a87f7153c9b74ca2b9915" ns2:_="" ns3:_="">
    <xsd:import namespace="20af7c80-36c0-4b7e-8457-77e8b6913c15"/>
    <xsd:import namespace="36249f07-dcfd-4cbc-b69f-c34fe55685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7c80-36c0-4b7e-8457-77e8b6913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9f07-dcfd-4cbc-b69f-c34fe55685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0c159fc-5419-41c4-bf02-bd2f282071a6}" ma:internalName="TaxCatchAll" ma:showField="CatchAllData" ma:web="36249f07-dcfd-4cbc-b69f-c34fe55685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E5B7A-36D8-4C49-BD2E-988661A3B938}"/>
</file>

<file path=customXml/itemProps2.xml><?xml version="1.0" encoding="utf-8"?>
<ds:datastoreItem xmlns:ds="http://schemas.openxmlformats.org/officeDocument/2006/customXml" ds:itemID="{4B6AD280-EBE2-4135-99E0-ECC0D51AAEA4}"/>
</file>

<file path=customXml/itemProps3.xml><?xml version="1.0" encoding="utf-8"?>
<ds:datastoreItem xmlns:ds="http://schemas.openxmlformats.org/officeDocument/2006/customXml" ds:itemID="{08C7517E-0081-4EE9-B217-EE5FBC29DF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2022-01-24T15:17:18Z</dcterms:created>
  <dcterms:modified xsi:type="dcterms:W3CDTF">2022-11-09T01:51:25Z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0x010100FB83BDCC9FFC4448B2AD5951CBABB081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